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135" windowWidth="14340" windowHeight="6030" activeTab="1"/>
  </bookViews>
  <sheets>
    <sheet name="Intro" sheetId="9" r:id="rId1"/>
    <sheet name="App Factors" sheetId="3" r:id="rId2"/>
    <sheet name="Customer Factors" sheetId="4" r:id="rId3"/>
    <sheet name="Grid Factors" sheetId="2" r:id="rId4"/>
    <sheet name="Outputs" sheetId="1" r:id="rId5"/>
    <sheet name="AppLogic Factors" sheetId="5" r:id="rId6"/>
    <sheet name="Calculations" sheetId="6" r:id="rId7"/>
    <sheet name="Sample Apps" sheetId="8" r:id="rId8"/>
  </sheets>
  <calcPr calcId="145621"/>
</workbook>
</file>

<file path=xl/calcChain.xml><?xml version="1.0" encoding="utf-8"?>
<calcChain xmlns="http://schemas.openxmlformats.org/spreadsheetml/2006/main">
  <c r="H33" i="3" l="1"/>
  <c r="H34" i="3" s="1"/>
  <c r="G33" i="3"/>
  <c r="G34" i="3" s="1"/>
  <c r="F33" i="3"/>
  <c r="F34" i="3" s="1"/>
  <c r="H27" i="3"/>
  <c r="H26" i="3"/>
  <c r="G26" i="3"/>
  <c r="G27" i="3" s="1"/>
  <c r="F26" i="3"/>
  <c r="F27" i="3" s="1"/>
  <c r="H20" i="3"/>
  <c r="G20" i="3"/>
  <c r="F20" i="3"/>
  <c r="H19" i="3"/>
  <c r="G19" i="3"/>
  <c r="F19" i="3"/>
  <c r="F14" i="3"/>
  <c r="H13" i="3"/>
  <c r="H14" i="3" s="1"/>
  <c r="G13" i="3"/>
  <c r="G14" i="3" s="1"/>
  <c r="F13" i="3"/>
  <c r="H40" i="1"/>
  <c r="H39" i="1"/>
  <c r="H38" i="1"/>
  <c r="H37" i="1"/>
  <c r="H36" i="1"/>
  <c r="F34" i="1"/>
  <c r="H7" i="4" l="1"/>
  <c r="G7" i="4"/>
  <c r="F7" i="4"/>
  <c r="F11" i="1"/>
  <c r="F12" i="1" s="1"/>
  <c r="AI7" i="6"/>
  <c r="U7" i="6"/>
  <c r="AF7" i="6"/>
  <c r="R7" i="6"/>
  <c r="AC7" i="6"/>
  <c r="W24" i="6"/>
  <c r="W23" i="6"/>
  <c r="W22" i="6"/>
  <c r="W21" i="6"/>
  <c r="W20" i="6"/>
  <c r="W19" i="6"/>
  <c r="W18" i="6"/>
  <c r="W17" i="6"/>
  <c r="W16" i="6"/>
  <c r="W15" i="6"/>
  <c r="W14" i="6"/>
  <c r="W13" i="6"/>
  <c r="W12" i="6"/>
  <c r="W11" i="6"/>
  <c r="W10" i="6"/>
  <c r="I23" i="6"/>
  <c r="G34" i="8"/>
  <c r="H33" i="8"/>
  <c r="H34" i="8" s="1"/>
  <c r="G33" i="8"/>
  <c r="F33" i="8"/>
  <c r="F34" i="8" s="1"/>
  <c r="H27" i="8"/>
  <c r="G27" i="8"/>
  <c r="H26" i="8"/>
  <c r="G26" i="8"/>
  <c r="F26" i="8"/>
  <c r="F27" i="8" s="1"/>
  <c r="G20" i="8"/>
  <c r="F20" i="8"/>
  <c r="H19" i="8"/>
  <c r="H20" i="8" s="1"/>
  <c r="G19" i="8"/>
  <c r="F19" i="8"/>
  <c r="H13" i="8"/>
  <c r="H14" i="8" s="1"/>
  <c r="G13" i="8"/>
  <c r="G14" i="8" s="1"/>
  <c r="F13" i="8"/>
  <c r="F14" i="8" s="1"/>
  <c r="C10" i="1"/>
  <c r="C9" i="1"/>
  <c r="C8" i="1"/>
  <c r="E18" i="6"/>
  <c r="E17" i="6"/>
  <c r="E16" i="6"/>
  <c r="N29" i="1" s="1"/>
  <c r="E15" i="6"/>
  <c r="E14" i="6"/>
  <c r="E12" i="6"/>
  <c r="E11" i="6"/>
  <c r="E10" i="6"/>
  <c r="I27" i="6"/>
  <c r="I25" i="6"/>
  <c r="I24" i="6"/>
  <c r="I17" i="6"/>
  <c r="K9" i="2"/>
  <c r="E13" i="6" s="1"/>
  <c r="V23" i="6"/>
  <c r="V22" i="6"/>
  <c r="V21" i="6"/>
  <c r="V20" i="6"/>
  <c r="V19" i="6"/>
  <c r="V18" i="6"/>
  <c r="V17" i="6"/>
  <c r="V16" i="6"/>
  <c r="V15" i="6"/>
  <c r="V14" i="6"/>
  <c r="V13" i="6"/>
  <c r="V12" i="6"/>
  <c r="V11" i="6"/>
  <c r="V10" i="6"/>
  <c r="U23" i="6"/>
  <c r="U22" i="6"/>
  <c r="U21" i="6"/>
  <c r="U20" i="6"/>
  <c r="U19" i="6"/>
  <c r="U18" i="6"/>
  <c r="U17" i="6"/>
  <c r="U16" i="6"/>
  <c r="U15" i="6"/>
  <c r="U14" i="6"/>
  <c r="U13" i="6"/>
  <c r="U12" i="6"/>
  <c r="U11" i="6"/>
  <c r="U10" i="6"/>
  <c r="T23" i="6"/>
  <c r="T22" i="6"/>
  <c r="T21" i="6"/>
  <c r="T20" i="6"/>
  <c r="T19" i="6"/>
  <c r="T18" i="6"/>
  <c r="T17" i="6"/>
  <c r="T16" i="6"/>
  <c r="T15" i="6"/>
  <c r="T14" i="6"/>
  <c r="T13" i="6"/>
  <c r="T12" i="6"/>
  <c r="T11" i="6"/>
  <c r="T10" i="6"/>
  <c r="S23" i="6"/>
  <c r="S22" i="6"/>
  <c r="S21" i="6"/>
  <c r="S20" i="6"/>
  <c r="S19" i="6"/>
  <c r="S18" i="6"/>
  <c r="S17" i="6"/>
  <c r="S16" i="6"/>
  <c r="S15" i="6"/>
  <c r="S14" i="6"/>
  <c r="S13" i="6"/>
  <c r="S12" i="6"/>
  <c r="S11" i="6"/>
  <c r="S10" i="6"/>
  <c r="R23" i="6"/>
  <c r="R22" i="6"/>
  <c r="R21" i="6"/>
  <c r="R20" i="6"/>
  <c r="R19" i="6"/>
  <c r="R18" i="6"/>
  <c r="R17" i="6"/>
  <c r="R16" i="6"/>
  <c r="R15" i="6"/>
  <c r="R14" i="6"/>
  <c r="R13" i="6"/>
  <c r="R12" i="6"/>
  <c r="R11" i="6"/>
  <c r="R10" i="6"/>
  <c r="Q23" i="6"/>
  <c r="Q22" i="6"/>
  <c r="Q21" i="6"/>
  <c r="Q20" i="6"/>
  <c r="Q19" i="6"/>
  <c r="Q18" i="6"/>
  <c r="Q17" i="6"/>
  <c r="Q16" i="6"/>
  <c r="Q15" i="6"/>
  <c r="Q14" i="6"/>
  <c r="Q13" i="6"/>
  <c r="Q12" i="6"/>
  <c r="Q11" i="6"/>
  <c r="Q10" i="6"/>
  <c r="P21" i="6"/>
  <c r="P20" i="6"/>
  <c r="P18" i="6"/>
  <c r="P17" i="6"/>
  <c r="P14" i="6"/>
  <c r="P12" i="6"/>
  <c r="P11" i="6"/>
  <c r="P10" i="6"/>
  <c r="O21" i="6"/>
  <c r="O20" i="6"/>
  <c r="O19" i="6"/>
  <c r="O18" i="6"/>
  <c r="O17" i="6"/>
  <c r="O16" i="6"/>
  <c r="O15" i="6"/>
  <c r="O14" i="6"/>
  <c r="O13" i="6"/>
  <c r="O12" i="6"/>
  <c r="O11" i="6"/>
  <c r="O10" i="6"/>
  <c r="N21" i="6"/>
  <c r="P23" i="6"/>
  <c r="O23" i="6"/>
  <c r="N23" i="6"/>
  <c r="N20" i="6"/>
  <c r="N19" i="6"/>
  <c r="P19" i="6"/>
  <c r="N18" i="6"/>
  <c r="N17" i="6"/>
  <c r="N16" i="6"/>
  <c r="N15" i="6"/>
  <c r="N14" i="6"/>
  <c r="N13" i="6"/>
  <c r="N12" i="6"/>
  <c r="N11" i="6"/>
  <c r="N10" i="6"/>
  <c r="O7" i="6"/>
  <c r="P15" i="6"/>
  <c r="I16" i="6"/>
  <c r="I15" i="6"/>
  <c r="I14" i="6"/>
  <c r="I13" i="6"/>
  <c r="I22" i="6" s="1"/>
  <c r="I11" i="6"/>
  <c r="I20" i="6" s="1"/>
  <c r="I10" i="6"/>
  <c r="I19" i="6" s="1"/>
  <c r="V26" i="6"/>
  <c r="U26" i="6"/>
  <c r="T26" i="6"/>
  <c r="S26" i="6"/>
  <c r="R26" i="6"/>
  <c r="Q26" i="6"/>
  <c r="P26" i="6"/>
  <c r="O26" i="6"/>
  <c r="N26" i="6"/>
  <c r="K10" i="4"/>
  <c r="G75" i="6" l="1"/>
  <c r="G74" i="6"/>
  <c r="G73" i="6"/>
  <c r="G72" i="6"/>
  <c r="G71" i="6"/>
  <c r="K73" i="6"/>
  <c r="L73" i="6" s="1"/>
  <c r="K75" i="6"/>
  <c r="L75" i="6" s="1"/>
  <c r="K74" i="6"/>
  <c r="L74" i="6" s="1"/>
  <c r="K72" i="6"/>
  <c r="L72" i="6" s="1"/>
  <c r="K71" i="6"/>
  <c r="L71" i="6" s="1"/>
  <c r="C73" i="6"/>
  <c r="H73" i="6" s="1"/>
  <c r="C72" i="6"/>
  <c r="H72" i="6" s="1"/>
  <c r="C74" i="6"/>
  <c r="H74" i="6" s="1"/>
  <c r="C71" i="6"/>
  <c r="C75" i="6"/>
  <c r="E25" i="6"/>
  <c r="F31" i="1" s="1"/>
  <c r="P16" i="6"/>
  <c r="P13" i="6"/>
  <c r="E21" i="6"/>
  <c r="F30" i="1" s="1"/>
  <c r="E24" i="6"/>
  <c r="E23" i="6"/>
  <c r="F29" i="1" s="1"/>
  <c r="E26" i="6"/>
  <c r="F32" i="1" s="1"/>
  <c r="E22" i="6"/>
  <c r="Y26" i="6"/>
  <c r="S27" i="6" s="1"/>
  <c r="P22" i="6"/>
  <c r="O22" i="6"/>
  <c r="N22" i="6"/>
  <c r="Q71" i="6" l="1"/>
  <c r="P71" i="6"/>
  <c r="P72" i="6"/>
  <c r="Q72" i="6"/>
  <c r="Q73" i="6"/>
  <c r="P73" i="6"/>
  <c r="Q74" i="6"/>
  <c r="P74" i="6"/>
  <c r="Q75" i="6"/>
  <c r="P75" i="6"/>
  <c r="H75" i="6"/>
  <c r="I75" i="6" s="1"/>
  <c r="H71" i="6"/>
  <c r="F36" i="1" s="1"/>
  <c r="M72" i="6"/>
  <c r="I37" i="1" s="1"/>
  <c r="M74" i="6"/>
  <c r="I39" i="1" s="1"/>
  <c r="M73" i="6"/>
  <c r="I38" i="1" s="1"/>
  <c r="I74" i="6"/>
  <c r="G39" i="1" s="1"/>
  <c r="F39" i="1"/>
  <c r="I72" i="6"/>
  <c r="G37" i="1" s="1"/>
  <c r="F37" i="1"/>
  <c r="I73" i="6"/>
  <c r="G38" i="1" s="1"/>
  <c r="F38" i="1"/>
  <c r="T27" i="6"/>
  <c r="U27" i="6"/>
  <c r="P27" i="6"/>
  <c r="N27" i="6"/>
  <c r="V27" i="6"/>
  <c r="R27" i="6"/>
  <c r="O27" i="6"/>
  <c r="Q27" i="6"/>
  <c r="M75" i="6" l="1"/>
  <c r="I40" i="1" s="1"/>
  <c r="F40" i="1"/>
  <c r="N72" i="6"/>
  <c r="K37" i="1" s="1"/>
  <c r="M71" i="6"/>
  <c r="I36" i="1" s="1"/>
  <c r="G40" i="1"/>
  <c r="N75" i="6"/>
  <c r="K40" i="1" s="1"/>
  <c r="I71" i="6"/>
  <c r="G36" i="1" s="1"/>
  <c r="N74" i="6"/>
  <c r="K39" i="1" s="1"/>
  <c r="N73" i="6"/>
  <c r="K38" i="1" s="1"/>
  <c r="D45" i="6"/>
  <c r="E45" i="6" s="1"/>
  <c r="G45" i="6" s="1"/>
  <c r="D44" i="6"/>
  <c r="E44" i="6" s="1"/>
  <c r="G44" i="6" s="1"/>
  <c r="D43" i="6"/>
  <c r="E43" i="6" s="1"/>
  <c r="G43" i="6" s="1"/>
  <c r="D41" i="6"/>
  <c r="E41" i="6" s="1"/>
  <c r="G41" i="6" s="1"/>
  <c r="D42" i="6"/>
  <c r="E42" i="6" s="1"/>
  <c r="G42" i="6" s="1"/>
  <c r="D40" i="6"/>
  <c r="E40" i="6" s="1"/>
  <c r="G40" i="6" s="1"/>
  <c r="Y27" i="6"/>
  <c r="N71" i="6" l="1"/>
  <c r="K36" i="1" s="1"/>
  <c r="D49" i="6"/>
  <c r="E49" i="6" s="1"/>
  <c r="F18" i="1" s="1"/>
  <c r="D48" i="6"/>
  <c r="E48" i="6" l="1"/>
  <c r="Q29" i="6"/>
  <c r="Q30" i="6" s="1"/>
  <c r="Q28" i="6" s="1"/>
  <c r="N29" i="6"/>
  <c r="N30" i="6" s="1"/>
  <c r="N28" i="6" s="1"/>
  <c r="T29" i="6"/>
  <c r="T30" i="6" s="1"/>
  <c r="T28" i="6" s="1"/>
  <c r="P29" i="6"/>
  <c r="P30" i="6" s="1"/>
  <c r="P28" i="6" s="1"/>
  <c r="V29" i="6"/>
  <c r="V30" i="6" s="1"/>
  <c r="V28" i="6" s="1"/>
  <c r="U29" i="6"/>
  <c r="U30" i="6" s="1"/>
  <c r="U28" i="6" s="1"/>
  <c r="O29" i="6"/>
  <c r="O30" i="6" s="1"/>
  <c r="O28" i="6" s="1"/>
  <c r="S29" i="6"/>
  <c r="S30" i="6" s="1"/>
  <c r="S28" i="6" s="1"/>
  <c r="R29" i="6"/>
  <c r="R30" i="6" s="1"/>
  <c r="R28" i="6" s="1"/>
  <c r="AB15" i="6" l="1"/>
  <c r="AB14" i="6"/>
  <c r="AF15" i="6"/>
  <c r="AF11" i="6"/>
  <c r="AF14" i="6"/>
  <c r="AF13" i="6"/>
  <c r="AF12" i="6"/>
  <c r="AF10" i="6"/>
  <c r="AE15" i="6"/>
  <c r="AE14" i="6"/>
  <c r="AE13" i="6"/>
  <c r="AE12" i="6"/>
  <c r="AE11" i="6"/>
  <c r="AE10" i="6"/>
  <c r="AG11" i="6"/>
  <c r="AG10" i="6"/>
  <c r="AG14" i="6"/>
  <c r="AG15" i="6"/>
  <c r="AG13" i="6"/>
  <c r="AG12" i="6"/>
  <c r="AC11" i="6"/>
  <c r="AC10" i="6"/>
  <c r="AC15" i="6"/>
  <c r="AC14" i="6"/>
  <c r="AC13" i="6"/>
  <c r="AC12" i="6"/>
  <c r="AI15" i="6"/>
  <c r="AI14" i="6"/>
  <c r="AI13" i="6"/>
  <c r="AI12" i="6"/>
  <c r="AI11" i="6"/>
  <c r="AI10" i="6"/>
  <c r="AJ15" i="6"/>
  <c r="AJ11" i="6"/>
  <c r="AJ14" i="6"/>
  <c r="AJ13" i="6"/>
  <c r="AJ12" i="6"/>
  <c r="AJ10" i="6"/>
  <c r="AD13" i="6"/>
  <c r="AD12" i="6"/>
  <c r="AD11" i="6"/>
  <c r="AD15" i="6"/>
  <c r="AD14" i="6"/>
  <c r="AD10" i="6"/>
  <c r="AH13" i="6"/>
  <c r="AH12" i="6"/>
  <c r="AH11" i="6"/>
  <c r="AH15" i="6"/>
  <c r="AH10" i="6"/>
  <c r="AH14" i="6"/>
  <c r="AB12" i="6"/>
  <c r="AB11" i="6"/>
  <c r="AB10" i="6"/>
  <c r="AB13" i="6"/>
  <c r="F17" i="1"/>
  <c r="L39" i="6"/>
  <c r="L40" i="6" s="1"/>
  <c r="V37" i="6"/>
  <c r="L10" i="1"/>
  <c r="U37" i="6"/>
  <c r="I10" i="1"/>
  <c r="T37" i="6"/>
  <c r="F10" i="1"/>
  <c r="Q37" i="6"/>
  <c r="F9" i="1"/>
  <c r="S37" i="6"/>
  <c r="L9" i="1"/>
  <c r="O37" i="6"/>
  <c r="I8" i="1"/>
  <c r="P37" i="6"/>
  <c r="L8" i="1"/>
  <c r="N37" i="6"/>
  <c r="F8" i="1"/>
  <c r="R37" i="6"/>
  <c r="I9" i="1"/>
  <c r="R33" i="6"/>
  <c r="R36" i="6"/>
  <c r="R35" i="6"/>
  <c r="R34" i="6"/>
  <c r="R32" i="6"/>
  <c r="Q36" i="6"/>
  <c r="Q33" i="6"/>
  <c r="Q32" i="6"/>
  <c r="Q35" i="6"/>
  <c r="Q34" i="6"/>
  <c r="S35" i="6"/>
  <c r="S32" i="6"/>
  <c r="S34" i="6"/>
  <c r="S33" i="6"/>
  <c r="S36" i="6"/>
  <c r="O35" i="6"/>
  <c r="O32" i="6"/>
  <c r="O34" i="6"/>
  <c r="O33" i="6"/>
  <c r="O36" i="6"/>
  <c r="U36" i="6"/>
  <c r="U35" i="6"/>
  <c r="U33" i="6"/>
  <c r="U32" i="6"/>
  <c r="U34" i="6"/>
  <c r="V33" i="6"/>
  <c r="V32" i="6"/>
  <c r="V36" i="6"/>
  <c r="V35" i="6"/>
  <c r="V34" i="6"/>
  <c r="P34" i="6"/>
  <c r="P36" i="6"/>
  <c r="P33" i="6"/>
  <c r="P32" i="6"/>
  <c r="P35" i="6"/>
  <c r="T32" i="6"/>
  <c r="T36" i="6"/>
  <c r="T33" i="6"/>
  <c r="T35" i="6"/>
  <c r="T34" i="6"/>
  <c r="N33" i="6"/>
  <c r="N36" i="6"/>
  <c r="N35" i="6"/>
  <c r="N32" i="6"/>
  <c r="N34" i="6"/>
  <c r="L12" i="1" l="1"/>
  <c r="AK13" i="6"/>
  <c r="I31" i="1" s="1"/>
  <c r="L31" i="1" s="1"/>
  <c r="AK10" i="6"/>
  <c r="AK11" i="6"/>
  <c r="I29" i="1" s="1"/>
  <c r="L29" i="1" s="1"/>
  <c r="AK12" i="6"/>
  <c r="I30" i="1" s="1"/>
  <c r="L30" i="1" s="1"/>
  <c r="AK14" i="6"/>
  <c r="AK15" i="6"/>
  <c r="I32" i="1" s="1"/>
  <c r="L32" i="1" s="1"/>
  <c r="O40" i="6"/>
  <c r="L41" i="6"/>
  <c r="N40" i="6"/>
  <c r="X32" i="6"/>
  <c r="Y32" i="6" s="1"/>
  <c r="X35" i="6"/>
  <c r="Y35" i="6" s="1"/>
  <c r="X36" i="6"/>
  <c r="Y36" i="6" s="1"/>
  <c r="X34" i="6"/>
  <c r="Y34" i="6" s="1"/>
  <c r="X37" i="6"/>
  <c r="Y37" i="6" s="1"/>
  <c r="X33" i="6"/>
  <c r="Y33" i="6" s="1"/>
  <c r="M40" i="6"/>
  <c r="L42" i="6" l="1"/>
  <c r="O41" i="6"/>
  <c r="N41" i="6"/>
  <c r="M41" i="6"/>
  <c r="L43" i="6" l="1"/>
  <c r="O42" i="6"/>
  <c r="N42" i="6"/>
  <c r="M42" i="6"/>
  <c r="L44" i="6" l="1"/>
  <c r="O43" i="6"/>
  <c r="N43" i="6"/>
  <c r="M43" i="6"/>
  <c r="L45" i="6" l="1"/>
  <c r="O44" i="6"/>
  <c r="N44" i="6"/>
  <c r="M44" i="6"/>
  <c r="L46" i="6" l="1"/>
  <c r="N45" i="6"/>
  <c r="O45" i="6"/>
  <c r="M45" i="6"/>
  <c r="L47" i="6" l="1"/>
  <c r="N46" i="6"/>
  <c r="O46" i="6"/>
  <c r="M46" i="6"/>
  <c r="L48" i="6" l="1"/>
  <c r="O47" i="6"/>
  <c r="N47" i="6"/>
  <c r="M47" i="6"/>
  <c r="N48" i="6" l="1"/>
  <c r="O48" i="6"/>
  <c r="M48" i="6"/>
</calcChain>
</file>

<file path=xl/comments1.xml><?xml version="1.0" encoding="utf-8"?>
<comments xmlns="http://schemas.openxmlformats.org/spreadsheetml/2006/main">
  <authors>
    <author>Noah Abrahams</author>
  </authors>
  <commentList>
    <comment ref="M3" authorId="0">
      <text>
        <r>
          <rPr>
            <b/>
            <sz val="9"/>
            <color indexed="81"/>
            <rFont val="Tahoma"/>
            <family val="2"/>
          </rPr>
          <t>Noah Abrahams:</t>
        </r>
        <r>
          <rPr>
            <sz val="9"/>
            <color indexed="81"/>
            <rFont val="Tahoma"/>
            <family val="2"/>
          </rPr>
          <t xml:space="preserve">
The notes are pop-ups like this.</t>
        </r>
      </text>
    </comment>
    <comment ref="L12" authorId="0">
      <text>
        <r>
          <rPr>
            <b/>
            <sz val="9"/>
            <color indexed="81"/>
            <rFont val="Tahoma"/>
            <charset val="1"/>
          </rPr>
          <t>Noah Abrahams:</t>
        </r>
        <r>
          <rPr>
            <sz val="9"/>
            <color indexed="81"/>
            <rFont val="Tahoma"/>
            <charset val="1"/>
          </rPr>
          <t xml:space="preserve">
This is the sum total of all applications that can be supported in the defined AppLogic environment, based on the percentage mix defined by the customer.</t>
        </r>
      </text>
    </comment>
    <comment ref="F17" authorId="0">
      <text>
        <r>
          <rPr>
            <b/>
            <sz val="9"/>
            <color indexed="81"/>
            <rFont val="Tahoma"/>
            <charset val="1"/>
          </rPr>
          <t>Noah Abrahams:</t>
        </r>
        <r>
          <rPr>
            <sz val="9"/>
            <color indexed="81"/>
            <rFont val="Tahoma"/>
            <charset val="1"/>
          </rPr>
          <t xml:space="preserve">
These constraints are the first resources to look to when either decreasing utilization or increasing capacity.</t>
        </r>
      </text>
    </comment>
    <comment ref="F28" authorId="0">
      <text>
        <r>
          <rPr>
            <b/>
            <sz val="9"/>
            <color indexed="81"/>
            <rFont val="Tahoma"/>
            <family val="2"/>
          </rPr>
          <t>Noah Abrahams:</t>
        </r>
        <r>
          <rPr>
            <sz val="9"/>
            <color indexed="81"/>
            <rFont val="Tahoma"/>
            <family val="2"/>
          </rPr>
          <t xml:space="preserve">
This is the resource total available for application use after the system has reserved what it needs to function.  The reservation includes failover capacity.</t>
        </r>
      </text>
    </comment>
    <comment ref="I28" authorId="0">
      <text>
        <r>
          <rPr>
            <b/>
            <sz val="9"/>
            <color indexed="81"/>
            <rFont val="Tahoma"/>
            <family val="2"/>
          </rPr>
          <t>Noah Abrahams:</t>
        </r>
        <r>
          <rPr>
            <sz val="9"/>
            <color indexed="81"/>
            <rFont val="Tahoma"/>
            <family val="2"/>
          </rPr>
          <t xml:space="preserve">
This is the resource total allocated for all applications as defined by the above mixture.</t>
        </r>
      </text>
    </comment>
    <comment ref="L28" authorId="0">
      <text>
        <r>
          <rPr>
            <b/>
            <sz val="9"/>
            <color indexed="81"/>
            <rFont val="Tahoma"/>
            <charset val="1"/>
          </rPr>
          <t xml:space="preserve">Noah Abrahams:
</t>
        </r>
        <r>
          <rPr>
            <sz val="9"/>
            <color indexed="81"/>
            <rFont val="Tahoma"/>
            <charset val="1"/>
          </rPr>
          <t>Any resources in RED are your primary limiting factors.
Any resources in BLUE are significantly under-utilized.</t>
        </r>
      </text>
    </comment>
    <comment ref="E34" authorId="0">
      <text>
        <r>
          <rPr>
            <b/>
            <sz val="9"/>
            <color indexed="81"/>
            <rFont val="Tahoma"/>
            <family val="2"/>
          </rPr>
          <t>Noah Abrahams:</t>
        </r>
        <r>
          <rPr>
            <sz val="9"/>
            <color indexed="81"/>
            <rFont val="Tahoma"/>
            <family val="2"/>
          </rPr>
          <t xml:space="preserve">
These IOPS Calculations are based on accepted physical averages, and the distribution of typical operations in the various physical and network topologies of AppLogic.</t>
        </r>
      </text>
    </comment>
    <comment ref="G35" authorId="0">
      <text>
        <r>
          <rPr>
            <b/>
            <sz val="9"/>
            <color indexed="81"/>
            <rFont val="Tahoma"/>
            <family val="2"/>
          </rPr>
          <t>Noah Abrahams:</t>
        </r>
        <r>
          <rPr>
            <sz val="9"/>
            <color indexed="81"/>
            <rFont val="Tahoma"/>
            <family val="2"/>
          </rPr>
          <t xml:space="preserve">
The "Simple" calculations are for a single volume stream, with mirroring, if possible.</t>
        </r>
      </text>
    </comment>
    <comment ref="K35" authorId="0">
      <text>
        <r>
          <rPr>
            <b/>
            <sz val="9"/>
            <color indexed="81"/>
            <rFont val="Tahoma"/>
            <family val="2"/>
          </rPr>
          <t>Noah Abrahams:</t>
        </r>
        <r>
          <rPr>
            <sz val="9"/>
            <color indexed="81"/>
            <rFont val="Tahoma"/>
            <family val="2"/>
          </rPr>
          <t xml:space="preserve">
The "Complex Array" includes distribution of operations across multiple volume streams.  This is limited by both the number of physical servers and the maximum capacity of a single VM (11 streams mirrored across 22 servers).</t>
        </r>
      </text>
    </comment>
  </commentList>
</comments>
</file>

<file path=xl/sharedStrings.xml><?xml version="1.0" encoding="utf-8"?>
<sst xmlns="http://schemas.openxmlformats.org/spreadsheetml/2006/main" count="677" uniqueCount="339">
  <si>
    <t>Constraining Factors</t>
  </si>
  <si>
    <t>Application</t>
  </si>
  <si>
    <t>Grid Fabric</t>
  </si>
  <si>
    <t>Primary</t>
  </si>
  <si>
    <t>Seconday</t>
  </si>
  <si>
    <t>Secondary</t>
  </si>
  <si>
    <t>DO NOT CHANGE ANYTHING ON THIS PAGE!</t>
  </si>
  <si>
    <t>VMs</t>
  </si>
  <si>
    <t>Per AppLogic Instance Maximums</t>
  </si>
  <si>
    <t>Per Server Maximums</t>
  </si>
  <si>
    <t xml:space="preserve">Volumes </t>
  </si>
  <si>
    <t>Applications</t>
  </si>
  <si>
    <t>Appliances</t>
  </si>
  <si>
    <t>Per Server Reservations</t>
  </si>
  <si>
    <t>System Capacity</t>
  </si>
  <si>
    <t>Server Attributes</t>
  </si>
  <si>
    <t>Processor</t>
  </si>
  <si>
    <t>Number of Disks</t>
  </si>
  <si>
    <t>RAM (GB)</t>
  </si>
  <si>
    <t>Disk Size (GB)</t>
  </si>
  <si>
    <t>Backbone Attributes</t>
  </si>
  <si>
    <t>SAN Attributes</t>
  </si>
  <si>
    <t>(leave blank if using DAS only)</t>
  </si>
  <si>
    <t>Connection Bandwidth (Gbps)</t>
  </si>
  <si>
    <t>NICs per Server</t>
  </si>
  <si>
    <t>Virtual connections</t>
  </si>
  <si>
    <t>Disk Space (GB)</t>
  </si>
  <si>
    <t>Connections</t>
  </si>
  <si>
    <t>Memory</t>
  </si>
  <si>
    <t>Storage</t>
  </si>
  <si>
    <t>Bandwidth</t>
  </si>
  <si>
    <t>Total CPU</t>
  </si>
  <si>
    <t>Number of Appliances</t>
  </si>
  <si>
    <t>Number of Volumes</t>
  </si>
  <si>
    <t>Total Storage (GB)</t>
  </si>
  <si>
    <t># of Internal Connections</t>
  </si>
  <si>
    <t># of External connections</t>
  </si>
  <si>
    <t>External Bandwidth (Gbps)</t>
  </si>
  <si>
    <t>small</t>
  </si>
  <si>
    <t>medium</t>
  </si>
  <si>
    <t>large</t>
  </si>
  <si>
    <t>Customer Mix</t>
  </si>
  <si>
    <t>Percentage Ordering Small</t>
  </si>
  <si>
    <t>Percentage Ordering Medium</t>
  </si>
  <si>
    <t>Percentage Ordering Large</t>
  </si>
  <si>
    <t>Based on Customer Mix Percentage</t>
  </si>
  <si>
    <t>App Sizing needs to be addressed before even getting to this sheet.</t>
  </si>
  <si>
    <t>Disclaimer: Scheduling is complicated!</t>
  </si>
  <si>
    <t>Version:</t>
  </si>
  <si>
    <t>3.1, 3.5, 3.7, etc</t>
  </si>
  <si>
    <t>Max BW on 10Gb</t>
  </si>
  <si>
    <t>LAMP Stack</t>
  </si>
  <si>
    <t>Number of Servers</t>
  </si>
  <si>
    <t>Number of Licenses</t>
  </si>
  <si>
    <t>Small</t>
  </si>
  <si>
    <t>Med</t>
  </si>
  <si>
    <t>Large</t>
  </si>
  <si>
    <t>Number of Sockets</t>
  </si>
  <si>
    <t>3.5 Specs</t>
  </si>
  <si>
    <t>3.1 Specs</t>
  </si>
  <si>
    <t>3.7 Specs</t>
  </si>
  <si>
    <t>Grid Factors vs Applogic Factors -&gt; Useable Resources</t>
  </si>
  <si>
    <t>App Factors vs Customer Factors -&gt; Scheduled Work</t>
  </si>
  <si>
    <t>Useable Resources [union] Scheduled Work -&gt; Capacity</t>
  </si>
  <si>
    <t>Number of Servers per Grid</t>
  </si>
  <si>
    <t>Volume Mounts</t>
  </si>
  <si>
    <t>Volume stream</t>
  </si>
  <si>
    <t>AppLogic Version</t>
  </si>
  <si>
    <t>Total Volumes</t>
  </si>
  <si>
    <t>Total BW</t>
  </si>
  <si>
    <t>Smallest BW</t>
  </si>
  <si>
    <t>Largest BW</t>
  </si>
  <si>
    <t>Total Connections</t>
  </si>
  <si>
    <t>CPU</t>
  </si>
  <si>
    <t># Volumes</t>
  </si>
  <si>
    <t>Grid Factors</t>
  </si>
  <si>
    <t>AppLogic Factors</t>
  </si>
  <si>
    <t># Servers</t>
  </si>
  <si>
    <t># Cores / Socket</t>
  </si>
  <si>
    <t># Sockets / Server</t>
  </si>
  <si>
    <t>RAM / Server</t>
  </si>
  <si>
    <t># Disks</t>
  </si>
  <si>
    <t>GB / Disk</t>
  </si>
  <si>
    <t>Oversub?</t>
  </si>
  <si>
    <t>1Gb vs 10 Gb</t>
  </si>
  <si>
    <t>SAN Capacity</t>
  </si>
  <si>
    <t>SvPG</t>
  </si>
  <si>
    <t>SkPS</t>
  </si>
  <si>
    <t>CPS</t>
  </si>
  <si>
    <t>DPS</t>
  </si>
  <si>
    <t>VPD</t>
  </si>
  <si>
    <t>OSb</t>
  </si>
  <si>
    <t>BWPS</t>
  </si>
  <si>
    <t>VPS</t>
  </si>
  <si>
    <t>Max VM / Server</t>
  </si>
  <si>
    <t>Max Vol Mnt / Server</t>
  </si>
  <si>
    <t>Max Net Conn / Server</t>
  </si>
  <si>
    <t>Max Mirrors / Server</t>
  </si>
  <si>
    <t>Consumed CPU / Server</t>
  </si>
  <si>
    <t>Reserved Mem / Server</t>
  </si>
  <si>
    <t>Consumed VMs / Server</t>
  </si>
  <si>
    <t>Consumed Storage / Server</t>
  </si>
  <si>
    <t>Max Cores / Grid</t>
  </si>
  <si>
    <t>Max VMs / Grid</t>
  </si>
  <si>
    <t>Max Vol Mnt / Grid</t>
  </si>
  <si>
    <t>Max Net Conn / Grid</t>
  </si>
  <si>
    <t>Max Mirrors / Grid</t>
  </si>
  <si>
    <t>Max Apps / Grid</t>
  </si>
  <si>
    <t>Addl CPU / Grid</t>
  </si>
  <si>
    <t>Addl Mem / Grid</t>
  </si>
  <si>
    <t>Addl VMs / Grid</t>
  </si>
  <si>
    <t>Addl Storage / Grid</t>
  </si>
  <si>
    <t>Addl Volumes / Grid</t>
  </si>
  <si>
    <t>Scheduleable Resources</t>
  </si>
  <si>
    <t>Sched Mem</t>
  </si>
  <si>
    <t>SMPG</t>
  </si>
  <si>
    <t>Sched VMs</t>
  </si>
  <si>
    <t>Sched CPU</t>
  </si>
  <si>
    <t>Sched Volumes</t>
  </si>
  <si>
    <t>Sched Storage</t>
  </si>
  <si>
    <t>Sched BW</t>
  </si>
  <si>
    <t>Sched Connections</t>
  </si>
  <si>
    <t>SVMPG</t>
  </si>
  <si>
    <t>SCPG</t>
  </si>
  <si>
    <t>SVolPG</t>
  </si>
  <si>
    <t>SVPG</t>
  </si>
  <si>
    <t>SBWPG</t>
  </si>
  <si>
    <t>SConPG</t>
  </si>
  <si>
    <t>MVMPS</t>
  </si>
  <si>
    <t>MVolPS</t>
  </si>
  <si>
    <t>MConPS</t>
  </si>
  <si>
    <t>MMirPS</t>
  </si>
  <si>
    <t>RCPS</t>
  </si>
  <si>
    <t>RMPS</t>
  </si>
  <si>
    <t>RVMPS</t>
  </si>
  <si>
    <t>RVPS</t>
  </si>
  <si>
    <t>MCPG</t>
  </si>
  <si>
    <t>MVMPG</t>
  </si>
  <si>
    <t>MVolPG</t>
  </si>
  <si>
    <t>MConPG</t>
  </si>
  <si>
    <t>MMirPG</t>
  </si>
  <si>
    <t>MAppPG</t>
  </si>
  <si>
    <t>RCPG</t>
  </si>
  <si>
    <t>RMPG</t>
  </si>
  <si>
    <t>RMVPG</t>
  </si>
  <si>
    <t>RVPG</t>
  </si>
  <si>
    <t>RVolPG</t>
  </si>
  <si>
    <t>Total VMs</t>
  </si>
  <si>
    <t>Smallest CPU</t>
  </si>
  <si>
    <t>Largest CPU</t>
  </si>
  <si>
    <t>TVMSmA</t>
  </si>
  <si>
    <t>TCSMdB</t>
  </si>
  <si>
    <t>SmCLgC</t>
  </si>
  <si>
    <t>App Factors (Sm, Med, Lg for A, B, C)</t>
  </si>
  <si>
    <t>LgCSmA</t>
  </si>
  <si>
    <t>TMSmA</t>
  </si>
  <si>
    <t>SmMSmA</t>
  </si>
  <si>
    <t>LgMSmA</t>
  </si>
  <si>
    <t>TVSmA</t>
  </si>
  <si>
    <t>TVolSmA</t>
  </si>
  <si>
    <t>SmVolSmA</t>
  </si>
  <si>
    <t>LgVolSmA</t>
  </si>
  <si>
    <t>TBWSmA</t>
  </si>
  <si>
    <t>SmBWSmA</t>
  </si>
  <si>
    <t>LgBWSmA</t>
  </si>
  <si>
    <t>TConSmA</t>
  </si>
  <si>
    <t>Customer Factors</t>
  </si>
  <si>
    <t>PSA,B,C</t>
  </si>
  <si>
    <t>Percent Small Apps</t>
  </si>
  <si>
    <t>Percent Med Apps</t>
  </si>
  <si>
    <t>PMA,B,C</t>
  </si>
  <si>
    <t>Percent Large Apps</t>
  </si>
  <si>
    <t>PLA,B,C</t>
  </si>
  <si>
    <t>3x3 Grid, total 100%</t>
  </si>
  <si>
    <t>Normalize, Truncate, Then Report the Spare</t>
  </si>
  <si>
    <t>SVMPG = MAX {[(SvPG-1)*(MVPS-RVMPS)-RVMPG] , MVMPG}</t>
  </si>
  <si>
    <t>SCPG = MAX {[(SvPG-1)*((SkPS*CPS)-RCPS) - RCPG] * Osb, MCPG * Osb}</t>
  </si>
  <si>
    <t>MPS</t>
  </si>
  <si>
    <t>SMPG = [(SvPG-1)*(MPS-RMPS) - RMPG]</t>
  </si>
  <si>
    <t>SVolPG = MAX {[(SvPG-1)*(MVolPS-0)-RVolPG], MVolPG}</t>
  </si>
  <si>
    <t>SVPG = &lt;{[MIN (SvPG/2 , 1)] * [(VPD * DPS) - RVPS]} - RVPG&gt;</t>
  </si>
  <si>
    <t>SBWPG = [(SvPG-1) * BWPS]</t>
  </si>
  <si>
    <t>SConPG = ignore</t>
  </si>
  <si>
    <t>9 Terms each</t>
  </si>
  <si>
    <t>Requested amounts of resources</t>
  </si>
  <si>
    <t>RVM = (TVMSmA * PSA) + (TVMMdA * PMA) + (TVMLgA * PLA) + …</t>
  </si>
  <si>
    <t>RM</t>
  </si>
  <si>
    <t>RC</t>
  </si>
  <si>
    <t>Rvol</t>
  </si>
  <si>
    <t>RV</t>
  </si>
  <si>
    <t>RBW</t>
  </si>
  <si>
    <t>Scheduledable / Requested = Number of apps that will fit on the grid, limited by that resource</t>
  </si>
  <si>
    <t>SCPG/RC = # Apps, by CPU, etc</t>
  </si>
  <si>
    <t>Sort those 7 (6) parameters:</t>
  </si>
  <si>
    <t>Lowest # is first Limit, Second Lowest is Second Limit (Resource constraints)</t>
  </si>
  <si>
    <t>Normalize App distribution, by percentage: (This might require recursive or iterative math)</t>
  </si>
  <si>
    <t>Small A</t>
  </si>
  <si>
    <t>Medium A</t>
  </si>
  <si>
    <t>Large A</t>
  </si>
  <si>
    <t>Small B</t>
  </si>
  <si>
    <t>Medium B</t>
  </si>
  <si>
    <t>Large B</t>
  </si>
  <si>
    <t>Small C</t>
  </si>
  <si>
    <t>Medium C</t>
  </si>
  <si>
    <t>Large C</t>
  </si>
  <si>
    <t>Percentages</t>
  </si>
  <si>
    <t>Normalized Percentages</t>
  </si>
  <si>
    <t>App A</t>
  </si>
  <si>
    <t>App B</t>
  </si>
  <si>
    <t>Total Percentage:</t>
  </si>
  <si>
    <t>Total</t>
  </si>
  <si>
    <t>Ignored</t>
  </si>
  <si>
    <t>Rcon</t>
  </si>
  <si>
    <t>Oversubscription Factor</t>
  </si>
  <si>
    <t>Per Grid Reservations</t>
  </si>
  <si>
    <t>App A:</t>
  </si>
  <si>
    <t>App B:</t>
  </si>
  <si>
    <t>App C:</t>
  </si>
  <si>
    <t>Sugar CRM</t>
  </si>
  <si>
    <t>Large CPU</t>
  </si>
  <si>
    <t>Small CPU</t>
  </si>
  <si>
    <t>Large RAM</t>
  </si>
  <si>
    <t>Small RAM</t>
  </si>
  <si>
    <t>Basic</t>
  </si>
  <si>
    <t>2x LB</t>
  </si>
  <si>
    <t>4x Autoscale</t>
  </si>
  <si>
    <t>4x LB</t>
  </si>
  <si>
    <t>8x Autoscale</t>
  </si>
  <si>
    <t>Medium</t>
  </si>
  <si>
    <t>CentOS VDS</t>
  </si>
  <si>
    <t>Large Volume</t>
  </si>
  <si>
    <t>Small Volume</t>
  </si>
  <si>
    <t>Large Bandwidth</t>
  </si>
  <si>
    <t>Small Bandwidth</t>
  </si>
  <si>
    <t>Large Check</t>
  </si>
  <si>
    <t>Multiply above by 2</t>
  </si>
  <si>
    <t>Lower of 0.51 or Ratio of Resouce/total</t>
  </si>
  <si>
    <t>1=Warning, 0=OK</t>
  </si>
  <si>
    <t>subtract 0.01, then Modulo</t>
  </si>
  <si>
    <t>Total RAM (MB)</t>
  </si>
  <si>
    <t>RAM in MB:</t>
  </si>
  <si>
    <t>Processor Cores per Socket</t>
  </si>
  <si>
    <t>Valid OverSub Factors: Blank, 2, 4, 8, 16</t>
  </si>
  <si>
    <t>Internal Bandwidth (Mbps)</t>
  </si>
  <si>
    <t>Note: Any total other than 100% will be normalized</t>
  </si>
  <si>
    <t>RVM</t>
  </si>
  <si>
    <t># by Resource</t>
  </si>
  <si>
    <t># of VMs</t>
  </si>
  <si>
    <t>RAM</t>
  </si>
  <si>
    <t># of Volumes</t>
  </si>
  <si>
    <t># Adjusted for Grid limits</t>
  </si>
  <si>
    <t>Label</t>
  </si>
  <si>
    <t>Total Resources</t>
  </si>
  <si>
    <t>Available</t>
  </si>
  <si>
    <t>BW</t>
  </si>
  <si>
    <t>In Use</t>
  </si>
  <si>
    <t>(MB)</t>
  </si>
  <si>
    <t>(GB)</t>
  </si>
  <si>
    <t>(Cores)</t>
  </si>
  <si>
    <t>1st Pass App Count</t>
  </si>
  <si>
    <t>1st Pass Resource Usage</t>
  </si>
  <si>
    <t>#VMs</t>
  </si>
  <si>
    <t>#Vols</t>
  </si>
  <si>
    <t>(Mb)</t>
  </si>
  <si>
    <t>Totals</t>
  </si>
  <si>
    <t>Leftover</t>
  </si>
  <si>
    <t>Total Mem (MB)</t>
  </si>
  <si>
    <t>Smallest Mem (MB)</t>
  </si>
  <si>
    <t>Largest Mem (MB)</t>
  </si>
  <si>
    <t>Smallest Volume (GB)</t>
  </si>
  <si>
    <t>Largest Volume (GB)</t>
  </si>
  <si>
    <t>Based on Limiting Resource</t>
  </si>
  <si>
    <t>Add 1st Largest</t>
  </si>
  <si>
    <t>Add 2nd Largest</t>
  </si>
  <si>
    <t>Add 3rd Largest</t>
  </si>
  <si>
    <t>Add 4th Largest</t>
  </si>
  <si>
    <t>Add 5th Largest</t>
  </si>
  <si>
    <t>Add 6th Largest</t>
  </si>
  <si>
    <t>Add 7th Largest</t>
  </si>
  <si>
    <t>Add 8th Largest</t>
  </si>
  <si>
    <t>Add Smallest</t>
  </si>
  <si>
    <t>ROW</t>
  </si>
  <si>
    <t>SMALL(INDIRECT(N40):INDIRECT(O40),9)</t>
  </si>
  <si>
    <t>CPU Oversubscription</t>
  </si>
  <si>
    <t>Final Count</t>
  </si>
  <si>
    <t>Final Usage</t>
  </si>
  <si>
    <t>Saturation (at N+1)</t>
  </si>
  <si>
    <t>Warnings</t>
  </si>
  <si>
    <t>Red &gt;90%, Blue &lt;20%</t>
  </si>
  <si>
    <t>Notes:</t>
  </si>
  <si>
    <t>App  C</t>
  </si>
  <si>
    <t>Total Running Apps:</t>
  </si>
  <si>
    <t>Capacity (GB)</t>
  </si>
  <si>
    <t>First Constraint:</t>
  </si>
  <si>
    <t>Second Constraint:</t>
  </si>
  <si>
    <t>This is a 1st order normalized amount</t>
  </si>
  <si>
    <t>App Sizing needs to be addressed as a discussion with this sheet.</t>
  </si>
  <si>
    <t>MB/s</t>
  </si>
  <si>
    <t>ESTIMATES ONLY!</t>
  </si>
  <si>
    <t>SSD</t>
  </si>
  <si>
    <t>Help File - How To</t>
  </si>
  <si>
    <t>Comments or popups for some cells</t>
  </si>
  <si>
    <t>Transparency</t>
  </si>
  <si>
    <t>Actual Scheduling (Large vs Small)</t>
  </si>
  <si>
    <t>Pebbles in a bucket Graph?</t>
  </si>
  <si>
    <t>NOTE: "Total" is the active number for each app.  "Large" and "Small" are just to help visulization and understanding.</t>
  </si>
  <si>
    <t>Disk Arrays - IOPS</t>
  </si>
  <si>
    <t>Typical Values: 1 or 10</t>
  </si>
  <si>
    <t>2 for HA, 1 for Non-HA.  This does not affect any calculations.</t>
  </si>
  <si>
    <t>Speed</t>
  </si>
  <si>
    <t>Avg Per Drive</t>
  </si>
  <si>
    <t xml:space="preserve">Initial RAID 0 </t>
  </si>
  <si>
    <t>5400 rpm SATA</t>
  </si>
  <si>
    <t>7200 rpm SATA</t>
  </si>
  <si>
    <t>10,000 rpm SAS</t>
  </si>
  <si>
    <t>15,000 rpm SAS</t>
  </si>
  <si>
    <t>???</t>
  </si>
  <si>
    <t>Simple Read</t>
  </si>
  <si>
    <t>Simple Write</t>
  </si>
  <si>
    <t>Complex Array Read</t>
  </si>
  <si>
    <t>Complex Array Write</t>
  </si>
  <si>
    <t>IOPS Calculations (DAS)</t>
  </si>
  <si>
    <t>Mirror Read</t>
  </si>
  <si>
    <t>Mirror Write</t>
  </si>
  <si>
    <t>Large Read</t>
  </si>
  <si>
    <t>Large Write</t>
  </si>
  <si>
    <t>Max Read</t>
  </si>
  <si>
    <t>Max Write</t>
  </si>
  <si>
    <t>THESE WERE LOOKED UP</t>
  </si>
  <si>
    <t>RAM (MB)</t>
  </si>
  <si>
    <t>This cell has a note on mouseover.</t>
  </si>
  <si>
    <t>Unused</t>
  </si>
  <si>
    <t>* Frankengrids are grids built with servers of mis-matched capacities</t>
  </si>
  <si>
    <t>Disclaimer: We advise against Frankengrids* as best practice</t>
  </si>
  <si>
    <t>Sizing Calculator</t>
  </si>
  <si>
    <t>Date:  7/9/2013</t>
  </si>
  <si>
    <t xml:space="preserve">For a video guided tour on how to use this calculator, please visit the AppLogic Videos channel on </t>
  </si>
  <si>
    <t>YouTube</t>
  </si>
  <si>
    <t>CA AppLogic® Application/Grid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</si>
</sst>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rgb="FFCDC8A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0" fillId="2" borderId="1" xfId="0" applyFill="1" applyBorder="1"/>
    <xf numFmtId="0" fontId="0" fillId="3" borderId="1" xfId="0" applyFill="1" applyBorder="1"/>
    <xf numFmtId="0" fontId="3" fillId="0" borderId="0" xfId="0" applyFont="1"/>
    <xf numFmtId="0" fontId="1" fillId="0" borderId="0" xfId="0" applyFont="1" applyFill="1" applyBorder="1"/>
    <xf numFmtId="0" fontId="0" fillId="0" borderId="0" xfId="0" applyFill="1" applyBorder="1"/>
    <xf numFmtId="0" fontId="0" fillId="5" borderId="1" xfId="0" applyFill="1" applyBorder="1"/>
    <xf numFmtId="0" fontId="0" fillId="0" borderId="0" xfId="0" applyAlignment="1">
      <alignment horizontal="center"/>
    </xf>
    <xf numFmtId="0" fontId="4" fillId="0" borderId="0" xfId="0" applyFont="1"/>
    <xf numFmtId="0" fontId="4" fillId="0" borderId="0" xfId="0" applyFont="1" applyFill="1" applyBorder="1"/>
    <xf numFmtId="0" fontId="0" fillId="6" borderId="0" xfId="0" applyFill="1"/>
    <xf numFmtId="0" fontId="0" fillId="7" borderId="0" xfId="0" applyFill="1"/>
    <xf numFmtId="0" fontId="0" fillId="9" borderId="0" xfId="0" applyFill="1"/>
    <xf numFmtId="10" fontId="0" fillId="2" borderId="1" xfId="0" applyNumberFormat="1" applyFill="1" applyBorder="1"/>
    <xf numFmtId="10" fontId="0" fillId="0" borderId="0" xfId="0" applyNumberFormat="1"/>
    <xf numFmtId="0" fontId="5" fillId="0" borderId="0" xfId="0" applyFont="1"/>
    <xf numFmtId="0" fontId="0" fillId="2" borderId="1" xfId="0" applyFill="1" applyBorder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/>
    <xf numFmtId="0" fontId="0" fillId="0" borderId="0" xfId="0" applyFont="1"/>
    <xf numFmtId="0" fontId="7" fillId="0" borderId="0" xfId="0" applyFont="1"/>
    <xf numFmtId="10" fontId="0" fillId="4" borderId="1" xfId="0" applyNumberFormat="1" applyFill="1" applyBorder="1"/>
    <xf numFmtId="0" fontId="0" fillId="4" borderId="1" xfId="0" applyNumberFormat="1" applyFill="1" applyBorder="1"/>
    <xf numFmtId="0" fontId="6" fillId="0" borderId="0" xfId="0" applyFont="1" applyFill="1" applyBorder="1"/>
    <xf numFmtId="0" fontId="7" fillId="0" borderId="0" xfId="0" applyFont="1" applyAlignment="1">
      <alignment horizontal="center"/>
    </xf>
    <xf numFmtId="0" fontId="8" fillId="0" borderId="0" xfId="0" applyFont="1"/>
    <xf numFmtId="0" fontId="9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0" fillId="8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6" borderId="0" xfId="0" applyFont="1" applyFill="1"/>
    <xf numFmtId="0" fontId="10" fillId="0" borderId="0" xfId="0" applyFont="1"/>
    <xf numFmtId="0" fontId="11" fillId="4" borderId="2" xfId="0" applyNumberFormat="1" applyFont="1" applyFill="1" applyBorder="1" applyAlignment="1">
      <alignment horizontal="center"/>
    </xf>
    <xf numFmtId="0" fontId="0" fillId="0" borderId="0" xfId="0" applyAlignment="1"/>
    <xf numFmtId="3" fontId="0" fillId="4" borderId="1" xfId="0" applyNumberForma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16" fillId="0" borderId="0" xfId="0" applyFont="1"/>
    <xf numFmtId="0" fontId="17" fillId="0" borderId="0" xfId="1"/>
    <xf numFmtId="0" fontId="0" fillId="0" borderId="5" xfId="0" applyBorder="1" applyAlignment="1">
      <alignment horizontal="center"/>
    </xf>
    <xf numFmtId="3" fontId="0" fillId="4" borderId="3" xfId="0" applyNumberFormat="1" applyFill="1" applyBorder="1" applyAlignment="1">
      <alignment horizontal="center"/>
    </xf>
    <xf numFmtId="3" fontId="0" fillId="4" borderId="4" xfId="0" applyNumberForma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7">
    <dxf>
      <fill>
        <patternFill>
          <bgColor theme="2" tint="-0.24994659260841701"/>
        </patternFill>
      </fill>
    </dxf>
    <dxf>
      <font>
        <b/>
        <i val="0"/>
      </font>
    </dxf>
    <dxf>
      <font>
        <b/>
        <i val="0"/>
      </font>
    </dxf>
    <dxf>
      <font>
        <b/>
        <i val="0"/>
      </font>
      <fill>
        <patternFill>
          <bgColor theme="5" tint="0.59996337778862885"/>
        </patternFill>
      </fill>
    </dxf>
    <dxf>
      <fill>
        <patternFill>
          <bgColor rgb="FFFF5050"/>
        </patternFill>
      </fill>
    </dxf>
    <dxf>
      <font>
        <b/>
        <i val="0"/>
      </font>
      <fill>
        <patternFill>
          <bgColor rgb="FF00FFCC"/>
        </patternFill>
      </fill>
    </dxf>
    <dxf>
      <font>
        <b/>
        <i val="0"/>
      </font>
    </dxf>
  </dxfs>
  <tableStyles count="0" defaultTableStyle="TableStyleMedium9" defaultPivotStyle="PivotStyleLight16"/>
  <colors>
    <mruColors>
      <color rgb="FFCDC8A7"/>
      <color rgb="FF00FFCC"/>
      <color rgb="FFFF5050"/>
      <color rgb="FFFF6600"/>
      <color rgb="FFFFCCCC"/>
      <color rgb="FFD7E4BC"/>
      <color rgb="FFFFB7B7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v>Saturation Percentage</c:v>
          </c:tx>
          <c:invertIfNegative val="0"/>
          <c:cat>
            <c:strLit>
              <c:ptCount val="4"/>
              <c:pt idx="0">
                <c:v>CPU</c:v>
              </c:pt>
              <c:pt idx="1">
                <c:v> Memory</c:v>
              </c:pt>
              <c:pt idx="2">
                <c:v> Storage</c:v>
              </c:pt>
              <c:pt idx="3">
                <c:v> Bandwidth</c:v>
              </c:pt>
            </c:strLit>
          </c:cat>
          <c:val>
            <c:numRef>
              <c:f>Outputs!$L$29:$L$32</c:f>
              <c:numCache>
                <c:formatCode>0.00%</c:formatCode>
                <c:ptCount val="4"/>
                <c:pt idx="0">
                  <c:v>0.24651162790697673</c:v>
                </c:pt>
                <c:pt idx="1">
                  <c:v>0.14172540702389122</c:v>
                </c:pt>
                <c:pt idx="2">
                  <c:v>2.1131768769684041E-2</c:v>
                </c:pt>
                <c:pt idx="3">
                  <c:v>0.85062499999999996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38094464"/>
        <c:axId val="138096000"/>
        <c:axId val="0"/>
      </c:bar3DChart>
      <c:catAx>
        <c:axId val="1380944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38096000"/>
        <c:crosses val="autoZero"/>
        <c:auto val="1"/>
        <c:lblAlgn val="ctr"/>
        <c:lblOffset val="100"/>
        <c:noMultiLvlLbl val="0"/>
      </c:catAx>
      <c:valAx>
        <c:axId val="138096000"/>
        <c:scaling>
          <c:orientation val="minMax"/>
        </c:scaling>
        <c:delete val="0"/>
        <c:axPos val="l"/>
        <c:majorGridlines/>
        <c:numFmt formatCode="0.00%" sourceLinked="1"/>
        <c:majorTickMark val="out"/>
        <c:minorTickMark val="none"/>
        <c:tickLblPos val="nextTo"/>
        <c:crossAx val="1380944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gi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gi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gi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1.jpeg"/><Relationship Id="rId1" Type="http://schemas.openxmlformats.org/officeDocument/2006/relationships/image" Target="../media/image2.gi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gi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gi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536575</xdr:colOff>
      <xdr:row>4</xdr:row>
      <xdr:rowOff>43815</xdr:rowOff>
    </xdr:to>
    <xdr:pic>
      <xdr:nvPicPr>
        <xdr:cNvPr id="4" name="Picture 3" descr="CA_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381000"/>
          <a:ext cx="536575" cy="42481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478841</xdr:colOff>
      <xdr:row>4</xdr:row>
      <xdr:rowOff>61632</xdr:rowOff>
    </xdr:to>
    <xdr:pic>
      <xdr:nvPicPr>
        <xdr:cNvPr id="5" name="Picture 4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828800" y="381000"/>
          <a:ext cx="1698041" cy="4426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187960</xdr:colOff>
      <xdr:row>0</xdr:row>
      <xdr:rowOff>83820</xdr:rowOff>
    </xdr:from>
    <xdr:to>
      <xdr:col>6</xdr:col>
      <xdr:colOff>514401</xdr:colOff>
      <xdr:row>2</xdr:row>
      <xdr:rowOff>145452</xdr:rowOff>
    </xdr:to>
    <xdr:pic>
      <xdr:nvPicPr>
        <xdr:cNvPr id="2" name="Picture 1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7240" y="83820"/>
          <a:ext cx="1743761" cy="427392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0</xdr:row>
      <xdr:rowOff>68580</xdr:rowOff>
    </xdr:from>
    <xdr:to>
      <xdr:col>2</xdr:col>
      <xdr:colOff>302260</xdr:colOff>
      <xdr:row>2</xdr:row>
      <xdr:rowOff>112395</xdr:rowOff>
    </xdr:to>
    <xdr:pic>
      <xdr:nvPicPr>
        <xdr:cNvPr id="3" name="Picture 2" descr="CA_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2460" y="68580"/>
          <a:ext cx="546100" cy="4095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187960</xdr:colOff>
      <xdr:row>0</xdr:row>
      <xdr:rowOff>83820</xdr:rowOff>
    </xdr:from>
    <xdr:to>
      <xdr:col>6</xdr:col>
      <xdr:colOff>203886</xdr:colOff>
      <xdr:row>2</xdr:row>
      <xdr:rowOff>145452</xdr:rowOff>
    </xdr:to>
    <xdr:pic>
      <xdr:nvPicPr>
        <xdr:cNvPr id="2" name="Picture 1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7240" y="83820"/>
          <a:ext cx="1743761" cy="427392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0</xdr:row>
      <xdr:rowOff>68580</xdr:rowOff>
    </xdr:from>
    <xdr:to>
      <xdr:col>2</xdr:col>
      <xdr:colOff>302260</xdr:colOff>
      <xdr:row>2</xdr:row>
      <xdr:rowOff>112395</xdr:rowOff>
    </xdr:to>
    <xdr:pic>
      <xdr:nvPicPr>
        <xdr:cNvPr id="3" name="Picture 2" descr="CA_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2460" y="68580"/>
          <a:ext cx="546100" cy="4095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187960</xdr:colOff>
      <xdr:row>0</xdr:row>
      <xdr:rowOff>83820</xdr:rowOff>
    </xdr:from>
    <xdr:to>
      <xdr:col>5</xdr:col>
      <xdr:colOff>1051611</xdr:colOff>
      <xdr:row>2</xdr:row>
      <xdr:rowOff>145452</xdr:rowOff>
    </xdr:to>
    <xdr:pic>
      <xdr:nvPicPr>
        <xdr:cNvPr id="4" name="Picture 3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7240" y="83820"/>
          <a:ext cx="1743761" cy="427392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0</xdr:row>
      <xdr:rowOff>68580</xdr:rowOff>
    </xdr:from>
    <xdr:to>
      <xdr:col>2</xdr:col>
      <xdr:colOff>302260</xdr:colOff>
      <xdr:row>2</xdr:row>
      <xdr:rowOff>112395</xdr:rowOff>
    </xdr:to>
    <xdr:pic>
      <xdr:nvPicPr>
        <xdr:cNvPr id="5" name="Picture 4" descr="CA_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2460" y="68580"/>
          <a:ext cx="546100" cy="4095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190500</xdr:colOff>
      <xdr:row>0</xdr:row>
      <xdr:rowOff>83820</xdr:rowOff>
    </xdr:from>
    <xdr:to>
      <xdr:col>5</xdr:col>
      <xdr:colOff>1225601</xdr:colOff>
      <xdr:row>2</xdr:row>
      <xdr:rowOff>97827</xdr:rowOff>
    </xdr:to>
    <xdr:pic>
      <xdr:nvPicPr>
        <xdr:cNvPr id="2" name="Picture 1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9780" y="83820"/>
          <a:ext cx="1743761" cy="427392"/>
        </a:xfrm>
        <a:prstGeom prst="rect">
          <a:avLst/>
        </a:prstGeom>
      </xdr:spPr>
    </xdr:pic>
    <xdr:clientData/>
  </xdr:twoCellAnchor>
  <xdr:twoCellAnchor editAs="oneCell">
    <xdr:from>
      <xdr:col>1</xdr:col>
      <xdr:colOff>25400</xdr:colOff>
      <xdr:row>0</xdr:row>
      <xdr:rowOff>68580</xdr:rowOff>
    </xdr:from>
    <xdr:to>
      <xdr:col>2</xdr:col>
      <xdr:colOff>304800</xdr:colOff>
      <xdr:row>2</xdr:row>
      <xdr:rowOff>64770</xdr:rowOff>
    </xdr:to>
    <xdr:pic>
      <xdr:nvPicPr>
        <xdr:cNvPr id="3" name="Picture 2" descr="CA_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5000" y="68580"/>
          <a:ext cx="546100" cy="409575"/>
        </a:xfrm>
        <a:prstGeom prst="rect">
          <a:avLst/>
        </a:prstGeom>
      </xdr:spPr>
    </xdr:pic>
    <xdr:clientData/>
  </xdr:twoCellAnchor>
  <xdr:twoCellAnchor>
    <xdr:from>
      <xdr:col>9</xdr:col>
      <xdr:colOff>238125</xdr:colOff>
      <xdr:row>15</xdr:row>
      <xdr:rowOff>76201</xdr:rowOff>
    </xdr:from>
    <xdr:to>
      <xdr:col>14</xdr:col>
      <xdr:colOff>409575</xdr:colOff>
      <xdr:row>26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187960</xdr:colOff>
      <xdr:row>0</xdr:row>
      <xdr:rowOff>83820</xdr:rowOff>
    </xdr:from>
    <xdr:to>
      <xdr:col>5</xdr:col>
      <xdr:colOff>1223061</xdr:colOff>
      <xdr:row>2</xdr:row>
      <xdr:rowOff>145452</xdr:rowOff>
    </xdr:to>
    <xdr:pic>
      <xdr:nvPicPr>
        <xdr:cNvPr id="2" name="Picture 1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7240" y="83820"/>
          <a:ext cx="1743761" cy="427392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0</xdr:row>
      <xdr:rowOff>68580</xdr:rowOff>
    </xdr:from>
    <xdr:to>
      <xdr:col>2</xdr:col>
      <xdr:colOff>302260</xdr:colOff>
      <xdr:row>2</xdr:row>
      <xdr:rowOff>112395</xdr:rowOff>
    </xdr:to>
    <xdr:pic>
      <xdr:nvPicPr>
        <xdr:cNvPr id="3" name="Picture 2" descr="CA_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2460" y="68580"/>
          <a:ext cx="546100" cy="4095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187960</xdr:colOff>
      <xdr:row>0</xdr:row>
      <xdr:rowOff>83820</xdr:rowOff>
    </xdr:from>
    <xdr:to>
      <xdr:col>6</xdr:col>
      <xdr:colOff>784911</xdr:colOff>
      <xdr:row>2</xdr:row>
      <xdr:rowOff>145452</xdr:rowOff>
    </xdr:to>
    <xdr:pic>
      <xdr:nvPicPr>
        <xdr:cNvPr id="4" name="Picture 3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7240" y="83820"/>
          <a:ext cx="1743761" cy="427392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0</xdr:row>
      <xdr:rowOff>68580</xdr:rowOff>
    </xdr:from>
    <xdr:to>
      <xdr:col>2</xdr:col>
      <xdr:colOff>302260</xdr:colOff>
      <xdr:row>2</xdr:row>
      <xdr:rowOff>112395</xdr:rowOff>
    </xdr:to>
    <xdr:pic>
      <xdr:nvPicPr>
        <xdr:cNvPr id="5" name="Picture 4" descr="CA_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2460" y="68580"/>
          <a:ext cx="546100" cy="4095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187960</xdr:colOff>
      <xdr:row>0</xdr:row>
      <xdr:rowOff>83820</xdr:rowOff>
    </xdr:from>
    <xdr:to>
      <xdr:col>6</xdr:col>
      <xdr:colOff>514401</xdr:colOff>
      <xdr:row>2</xdr:row>
      <xdr:rowOff>145452</xdr:rowOff>
    </xdr:to>
    <xdr:pic>
      <xdr:nvPicPr>
        <xdr:cNvPr id="2" name="Picture 1" descr="applogic_logo_r_horizontal.gif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26285" y="83820"/>
          <a:ext cx="1698041" cy="442632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0</xdr:row>
      <xdr:rowOff>68580</xdr:rowOff>
    </xdr:from>
    <xdr:to>
      <xdr:col>2</xdr:col>
      <xdr:colOff>302260</xdr:colOff>
      <xdr:row>2</xdr:row>
      <xdr:rowOff>112395</xdr:rowOff>
    </xdr:to>
    <xdr:pic>
      <xdr:nvPicPr>
        <xdr:cNvPr id="3" name="Picture 2" descr="CA_log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2460" y="68580"/>
          <a:ext cx="536575" cy="424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youtube.com/watch?v=3FGRyfo0EJk&amp;list=PLkuu1ou1G3qzEjpMBRc1isUWzTU9oTPpI&amp;index=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K14"/>
  <sheetViews>
    <sheetView workbookViewId="0">
      <selection sqref="A1:XFD1048576"/>
    </sheetView>
  </sheetViews>
  <sheetFormatPr defaultRowHeight="15" x14ac:dyDescent="0.25"/>
  <cols>
    <col min="10" max="10" width="14.140625" customWidth="1"/>
  </cols>
  <sheetData>
    <row r="7" spans="2:11" ht="31.5" x14ac:dyDescent="0.5">
      <c r="B7" s="38" t="s">
        <v>338</v>
      </c>
    </row>
    <row r="9" spans="2:11" ht="31.5" x14ac:dyDescent="0.5">
      <c r="B9" s="38" t="s">
        <v>334</v>
      </c>
    </row>
    <row r="11" spans="2:11" x14ac:dyDescent="0.25">
      <c r="B11" s="16" t="s">
        <v>335</v>
      </c>
    </row>
    <row r="13" spans="2:11" x14ac:dyDescent="0.25">
      <c r="B13" t="s">
        <v>336</v>
      </c>
      <c r="K13" s="39" t="s">
        <v>337</v>
      </c>
    </row>
    <row r="14" spans="2:11" x14ac:dyDescent="0.25">
      <c r="B14" s="39"/>
    </row>
  </sheetData>
  <hyperlinks>
    <hyperlink ref="K13" r:id="rId1"/>
  </hyperlinks>
  <pageMargins left="0.7" right="0.7" top="0.75" bottom="0.75" header="0.3" footer="0.3"/>
  <pageSetup orientation="portrait" r:id="rId2"/>
  <drawing r:id="rId3"/>
  <webPublishItems count="1">
    <webPublishItem id="4288" divId="AppLogic Sizing Calculator-07-09-13 v2_4288" sourceType="sheet" destinationFile="C:\Users\wolda04\Documents\AppLogic\from Marketing\GridSizing\GridSizeIntro.htm" autoRepublish="1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X40"/>
  <sheetViews>
    <sheetView tabSelected="1" workbookViewId="0">
      <selection activeCell="Z28" sqref="Z28"/>
    </sheetView>
  </sheetViews>
  <sheetFormatPr defaultRowHeight="15" x14ac:dyDescent="0.25"/>
  <cols>
    <col min="2" max="2" width="3.85546875" customWidth="1"/>
    <col min="4" max="4" width="5.42578125" customWidth="1"/>
    <col min="5" max="8" width="10.28515625" customWidth="1"/>
  </cols>
  <sheetData>
    <row r="2" spans="2:24" x14ac:dyDescent="0.25">
      <c r="I2" t="s">
        <v>296</v>
      </c>
      <c r="Q2" s="9" t="s">
        <v>305</v>
      </c>
    </row>
    <row r="4" spans="2:24" x14ac:dyDescent="0.25">
      <c r="E4" s="9" t="s">
        <v>215</v>
      </c>
      <c r="F4" s="9" t="s">
        <v>229</v>
      </c>
      <c r="M4" s="9" t="s">
        <v>216</v>
      </c>
      <c r="N4" s="9" t="s">
        <v>51</v>
      </c>
      <c r="U4" s="9" t="s">
        <v>217</v>
      </c>
      <c r="V4" s="9" t="s">
        <v>218</v>
      </c>
    </row>
    <row r="5" spans="2:24" x14ac:dyDescent="0.25">
      <c r="F5" t="s">
        <v>54</v>
      </c>
      <c r="G5" t="s">
        <v>228</v>
      </c>
      <c r="H5" t="s">
        <v>56</v>
      </c>
      <c r="N5" t="s">
        <v>223</v>
      </c>
      <c r="O5" t="s">
        <v>224</v>
      </c>
      <c r="P5" t="s">
        <v>225</v>
      </c>
      <c r="V5" t="s">
        <v>224</v>
      </c>
      <c r="W5" t="s">
        <v>226</v>
      </c>
      <c r="X5" t="s">
        <v>227</v>
      </c>
    </row>
    <row r="6" spans="2:24" ht="18.75" x14ac:dyDescent="0.3">
      <c r="B6" s="1" t="s">
        <v>12</v>
      </c>
      <c r="J6" s="1" t="s">
        <v>12</v>
      </c>
      <c r="R6" s="1" t="s">
        <v>12</v>
      </c>
    </row>
    <row r="7" spans="2:24" x14ac:dyDescent="0.25">
      <c r="F7" s="8" t="s">
        <v>38</v>
      </c>
      <c r="G7" s="8" t="s">
        <v>39</v>
      </c>
      <c r="H7" s="8" t="s">
        <v>40</v>
      </c>
      <c r="N7" s="8" t="s">
        <v>38</v>
      </c>
      <c r="O7" s="8" t="s">
        <v>39</v>
      </c>
      <c r="P7" s="8" t="s">
        <v>40</v>
      </c>
      <c r="V7" s="8" t="s">
        <v>38</v>
      </c>
      <c r="W7" s="8" t="s">
        <v>39</v>
      </c>
      <c r="X7" s="8" t="s">
        <v>40</v>
      </c>
    </row>
    <row r="8" spans="2:24" x14ac:dyDescent="0.25">
      <c r="C8" t="s">
        <v>32</v>
      </c>
      <c r="F8" s="2">
        <v>1</v>
      </c>
      <c r="G8" s="2">
        <v>1</v>
      </c>
      <c r="H8" s="2">
        <v>1</v>
      </c>
      <c r="K8" t="s">
        <v>32</v>
      </c>
      <c r="N8" s="2">
        <v>5</v>
      </c>
      <c r="O8" s="2">
        <v>8</v>
      </c>
      <c r="P8" s="2">
        <v>11</v>
      </c>
      <c r="S8" t="s">
        <v>32</v>
      </c>
      <c r="V8" s="2">
        <v>11</v>
      </c>
      <c r="W8" s="2">
        <v>13</v>
      </c>
      <c r="X8" s="2">
        <v>18</v>
      </c>
    </row>
    <row r="10" spans="2:24" ht="18.75" x14ac:dyDescent="0.3">
      <c r="B10" s="1" t="s">
        <v>16</v>
      </c>
      <c r="J10" s="1" t="s">
        <v>16</v>
      </c>
      <c r="R10" s="1" t="s">
        <v>16</v>
      </c>
    </row>
    <row r="11" spans="2:24" x14ac:dyDescent="0.25">
      <c r="F11" s="8" t="s">
        <v>38</v>
      </c>
      <c r="G11" s="8" t="s">
        <v>39</v>
      </c>
      <c r="H11" s="8" t="s">
        <v>40</v>
      </c>
      <c r="N11" s="8" t="s">
        <v>38</v>
      </c>
      <c r="O11" s="8" t="s">
        <v>39</v>
      </c>
      <c r="P11" s="8" t="s">
        <v>40</v>
      </c>
      <c r="V11" s="8" t="s">
        <v>38</v>
      </c>
      <c r="W11" s="8" t="s">
        <v>39</v>
      </c>
      <c r="X11" s="8" t="s">
        <v>40</v>
      </c>
    </row>
    <row r="12" spans="2:24" x14ac:dyDescent="0.25">
      <c r="C12" t="s">
        <v>31</v>
      </c>
      <c r="F12" s="7">
        <v>0.25</v>
      </c>
      <c r="G12" s="7">
        <v>0.5</v>
      </c>
      <c r="H12" s="7">
        <v>1</v>
      </c>
      <c r="K12" t="s">
        <v>31</v>
      </c>
      <c r="N12" s="7">
        <v>1</v>
      </c>
      <c r="O12" s="7">
        <v>1.9</v>
      </c>
      <c r="P12" s="7">
        <v>3.9</v>
      </c>
      <c r="S12" t="s">
        <v>31</v>
      </c>
      <c r="V12" s="7">
        <v>2.15</v>
      </c>
      <c r="W12" s="7">
        <v>2.85</v>
      </c>
      <c r="X12" s="7">
        <v>4.05</v>
      </c>
    </row>
    <row r="13" spans="2:24" x14ac:dyDescent="0.25">
      <c r="C13" t="s">
        <v>219</v>
      </c>
      <c r="F13" s="7">
        <f t="shared" ref="F13:H14" si="0">F12</f>
        <v>0.25</v>
      </c>
      <c r="G13" s="7">
        <f t="shared" si="0"/>
        <v>0.5</v>
      </c>
      <c r="H13" s="7">
        <f t="shared" si="0"/>
        <v>1</v>
      </c>
      <c r="K13" t="s">
        <v>219</v>
      </c>
      <c r="N13" s="7">
        <v>0.4</v>
      </c>
      <c r="O13" s="7">
        <v>0.5</v>
      </c>
      <c r="P13" s="7">
        <v>1</v>
      </c>
      <c r="S13" t="s">
        <v>219</v>
      </c>
      <c r="V13" s="7">
        <v>0.4</v>
      </c>
      <c r="W13" s="7">
        <v>0.5</v>
      </c>
      <c r="X13" s="7">
        <v>1</v>
      </c>
    </row>
    <row r="14" spans="2:24" x14ac:dyDescent="0.25">
      <c r="C14" t="s">
        <v>220</v>
      </c>
      <c r="F14" s="7">
        <f t="shared" si="0"/>
        <v>0.25</v>
      </c>
      <c r="G14" s="7">
        <f t="shared" si="0"/>
        <v>0.5</v>
      </c>
      <c r="H14" s="7">
        <f t="shared" si="0"/>
        <v>1</v>
      </c>
      <c r="K14" t="s">
        <v>220</v>
      </c>
      <c r="N14" s="7">
        <v>0.05</v>
      </c>
      <c r="O14" s="7">
        <v>0.05</v>
      </c>
      <c r="P14" s="7">
        <v>0.05</v>
      </c>
      <c r="S14" t="s">
        <v>220</v>
      </c>
      <c r="V14" s="7">
        <v>0.05</v>
      </c>
      <c r="W14" s="7">
        <v>0.05</v>
      </c>
      <c r="X14" s="7">
        <v>0.05</v>
      </c>
    </row>
    <row r="16" spans="2:24" ht="18.75" x14ac:dyDescent="0.3">
      <c r="B16" s="1" t="s">
        <v>28</v>
      </c>
      <c r="J16" s="1" t="s">
        <v>28</v>
      </c>
      <c r="R16" s="1" t="s">
        <v>28</v>
      </c>
    </row>
    <row r="17" spans="2:24" x14ac:dyDescent="0.25">
      <c r="F17" s="8" t="s">
        <v>38</v>
      </c>
      <c r="G17" s="8" t="s">
        <v>39</v>
      </c>
      <c r="H17" s="8" t="s">
        <v>40</v>
      </c>
      <c r="N17" s="8" t="s">
        <v>38</v>
      </c>
      <c r="O17" s="8" t="s">
        <v>39</v>
      </c>
      <c r="P17" s="8" t="s">
        <v>40</v>
      </c>
      <c r="V17" s="8" t="s">
        <v>38</v>
      </c>
      <c r="W17" s="8" t="s">
        <v>39</v>
      </c>
      <c r="X17" s="8" t="s">
        <v>40</v>
      </c>
    </row>
    <row r="18" spans="2:24" x14ac:dyDescent="0.25">
      <c r="C18" t="s">
        <v>239</v>
      </c>
      <c r="F18" s="7">
        <v>256</v>
      </c>
      <c r="G18" s="7">
        <v>1024</v>
      </c>
      <c r="H18" s="7">
        <v>2048</v>
      </c>
      <c r="K18" t="s">
        <v>239</v>
      </c>
      <c r="N18" s="7">
        <v>1568</v>
      </c>
      <c r="O18" s="7">
        <v>3008</v>
      </c>
      <c r="P18" s="7">
        <v>5504</v>
      </c>
      <c r="S18" t="s">
        <v>239</v>
      </c>
      <c r="V18" s="7">
        <v>3008</v>
      </c>
      <c r="W18" s="7">
        <v>4544</v>
      </c>
      <c r="X18" s="7">
        <v>7936</v>
      </c>
    </row>
    <row r="19" spans="2:24" x14ac:dyDescent="0.25">
      <c r="C19" t="s">
        <v>221</v>
      </c>
      <c r="F19" s="7">
        <f t="shared" ref="F19:H20" si="1">F18</f>
        <v>256</v>
      </c>
      <c r="G19" s="7">
        <f t="shared" si="1"/>
        <v>1024</v>
      </c>
      <c r="H19" s="7">
        <f t="shared" si="1"/>
        <v>2048</v>
      </c>
      <c r="K19" t="s">
        <v>221</v>
      </c>
      <c r="N19" s="7">
        <v>512</v>
      </c>
      <c r="O19" s="7">
        <v>1024</v>
      </c>
      <c r="P19" s="7">
        <v>2048</v>
      </c>
      <c r="S19" t="s">
        <v>221</v>
      </c>
      <c r="V19" s="7">
        <v>512</v>
      </c>
      <c r="W19" s="7">
        <v>1024</v>
      </c>
      <c r="X19" s="7">
        <v>2048</v>
      </c>
    </row>
    <row r="20" spans="2:24" x14ac:dyDescent="0.25">
      <c r="C20" t="s">
        <v>222</v>
      </c>
      <c r="F20" s="7">
        <f t="shared" si="1"/>
        <v>256</v>
      </c>
      <c r="G20" s="7">
        <f t="shared" si="1"/>
        <v>1024</v>
      </c>
      <c r="H20" s="7">
        <f t="shared" si="1"/>
        <v>2048</v>
      </c>
      <c r="K20" t="s">
        <v>222</v>
      </c>
      <c r="N20" s="7">
        <v>96</v>
      </c>
      <c r="O20" s="7">
        <v>96</v>
      </c>
      <c r="P20" s="7">
        <v>96</v>
      </c>
      <c r="S20" t="s">
        <v>222</v>
      </c>
      <c r="V20" s="7">
        <v>96</v>
      </c>
      <c r="W20" s="7">
        <v>96</v>
      </c>
      <c r="X20" s="7">
        <v>96</v>
      </c>
    </row>
    <row r="22" spans="2:24" ht="18.75" x14ac:dyDescent="0.3">
      <c r="B22" s="1" t="s">
        <v>29</v>
      </c>
      <c r="J22" s="1" t="s">
        <v>29</v>
      </c>
      <c r="R22" s="1" t="s">
        <v>29</v>
      </c>
    </row>
    <row r="23" spans="2:24" x14ac:dyDescent="0.25">
      <c r="F23" s="8" t="s">
        <v>38</v>
      </c>
      <c r="G23" s="8" t="s">
        <v>39</v>
      </c>
      <c r="H23" s="8" t="s">
        <v>40</v>
      </c>
      <c r="N23" s="8" t="s">
        <v>38</v>
      </c>
      <c r="O23" s="8" t="s">
        <v>39</v>
      </c>
      <c r="P23" s="8" t="s">
        <v>40</v>
      </c>
      <c r="V23" s="8" t="s">
        <v>38</v>
      </c>
      <c r="W23" s="8" t="s">
        <v>39</v>
      </c>
      <c r="X23" s="8" t="s">
        <v>40</v>
      </c>
    </row>
    <row r="24" spans="2:24" x14ac:dyDescent="0.25">
      <c r="C24" t="s">
        <v>33</v>
      </c>
      <c r="F24" s="2">
        <v>1</v>
      </c>
      <c r="G24" s="7">
        <v>1</v>
      </c>
      <c r="H24" s="7">
        <v>1</v>
      </c>
      <c r="K24" t="s">
        <v>33</v>
      </c>
      <c r="N24" s="2">
        <v>10</v>
      </c>
      <c r="O24" s="7">
        <v>12</v>
      </c>
      <c r="P24" s="7">
        <v>18</v>
      </c>
      <c r="S24" t="s">
        <v>33</v>
      </c>
      <c r="V24" s="2">
        <v>18</v>
      </c>
      <c r="W24" s="7">
        <v>20</v>
      </c>
      <c r="X24" s="7">
        <v>27</v>
      </c>
    </row>
    <row r="25" spans="2:24" x14ac:dyDescent="0.25">
      <c r="C25" t="s">
        <v>34</v>
      </c>
      <c r="F25" s="2">
        <v>2</v>
      </c>
      <c r="G25" s="7">
        <v>10</v>
      </c>
      <c r="H25" s="7">
        <v>40</v>
      </c>
      <c r="K25" t="s">
        <v>34</v>
      </c>
      <c r="N25" s="2">
        <v>2.5</v>
      </c>
      <c r="O25" s="7">
        <v>6</v>
      </c>
      <c r="P25" s="7">
        <v>33</v>
      </c>
      <c r="S25" t="s">
        <v>34</v>
      </c>
      <c r="V25" s="2">
        <v>3.5</v>
      </c>
      <c r="W25" s="7">
        <v>5</v>
      </c>
      <c r="X25" s="7">
        <v>26</v>
      </c>
    </row>
    <row r="26" spans="2:24" x14ac:dyDescent="0.25">
      <c r="C26" t="s">
        <v>230</v>
      </c>
      <c r="F26" s="7">
        <f t="shared" ref="F26:H27" si="2">F25</f>
        <v>2</v>
      </c>
      <c r="G26" s="7">
        <f t="shared" si="2"/>
        <v>10</v>
      </c>
      <c r="H26" s="7">
        <f t="shared" si="2"/>
        <v>40</v>
      </c>
      <c r="K26" t="s">
        <v>230</v>
      </c>
      <c r="N26" s="2">
        <v>0.5</v>
      </c>
      <c r="O26" s="7">
        <v>2</v>
      </c>
      <c r="P26" s="7">
        <v>20</v>
      </c>
      <c r="S26" t="s">
        <v>230</v>
      </c>
      <c r="V26" s="2">
        <v>1</v>
      </c>
      <c r="W26" s="7">
        <v>2</v>
      </c>
      <c r="X26" s="7">
        <v>20</v>
      </c>
    </row>
    <row r="27" spans="2:24" x14ac:dyDescent="0.25">
      <c r="C27" t="s">
        <v>231</v>
      </c>
      <c r="F27" s="7">
        <f t="shared" si="2"/>
        <v>2</v>
      </c>
      <c r="G27" s="7">
        <f t="shared" si="2"/>
        <v>10</v>
      </c>
      <c r="H27" s="7">
        <f t="shared" si="2"/>
        <v>40</v>
      </c>
      <c r="K27" t="s">
        <v>231</v>
      </c>
      <c r="N27" s="2">
        <v>0.05</v>
      </c>
      <c r="O27" s="7">
        <v>0.05</v>
      </c>
      <c r="P27" s="7">
        <v>0.05</v>
      </c>
      <c r="S27" t="s">
        <v>231</v>
      </c>
      <c r="V27" s="2">
        <v>0.05</v>
      </c>
      <c r="W27" s="7">
        <v>0.05</v>
      </c>
      <c r="X27" s="7">
        <v>0.05</v>
      </c>
    </row>
    <row r="29" spans="2:24" ht="18.75" x14ac:dyDescent="0.3">
      <c r="B29" s="1" t="s">
        <v>30</v>
      </c>
      <c r="J29" s="1" t="s">
        <v>30</v>
      </c>
      <c r="R29" s="1" t="s">
        <v>30</v>
      </c>
    </row>
    <row r="30" spans="2:24" x14ac:dyDescent="0.25">
      <c r="F30" s="8" t="s">
        <v>38</v>
      </c>
      <c r="G30" s="8" t="s">
        <v>39</v>
      </c>
      <c r="H30" s="8" t="s">
        <v>40</v>
      </c>
      <c r="N30" s="8" t="s">
        <v>38</v>
      </c>
      <c r="O30" s="8" t="s">
        <v>39</v>
      </c>
      <c r="P30" s="8" t="s">
        <v>40</v>
      </c>
      <c r="V30" s="8" t="s">
        <v>38</v>
      </c>
      <c r="W30" s="8" t="s">
        <v>39</v>
      </c>
      <c r="X30" s="8" t="s">
        <v>40</v>
      </c>
    </row>
    <row r="31" spans="2:24" x14ac:dyDescent="0.25">
      <c r="C31" t="s">
        <v>35</v>
      </c>
      <c r="F31" s="2" t="s">
        <v>211</v>
      </c>
      <c r="K31" t="s">
        <v>35</v>
      </c>
      <c r="N31" s="2" t="s">
        <v>211</v>
      </c>
      <c r="S31" t="s">
        <v>35</v>
      </c>
      <c r="V31" s="2" t="s">
        <v>211</v>
      </c>
    </row>
    <row r="32" spans="2:24" x14ac:dyDescent="0.25">
      <c r="C32" t="s">
        <v>243</v>
      </c>
      <c r="F32" s="2">
        <v>1</v>
      </c>
      <c r="G32" s="2">
        <v>1</v>
      </c>
      <c r="H32" s="2">
        <v>1</v>
      </c>
      <c r="K32" t="s">
        <v>243</v>
      </c>
      <c r="N32" s="2">
        <v>1050</v>
      </c>
      <c r="O32" s="2">
        <v>1700</v>
      </c>
      <c r="P32" s="2">
        <v>1700</v>
      </c>
      <c r="S32" t="s">
        <v>243</v>
      </c>
      <c r="V32" s="2">
        <v>1550</v>
      </c>
      <c r="W32" s="2">
        <v>1750</v>
      </c>
      <c r="X32" s="2">
        <v>2150</v>
      </c>
    </row>
    <row r="33" spans="2:24" x14ac:dyDescent="0.25">
      <c r="C33" t="s">
        <v>232</v>
      </c>
      <c r="F33" s="7">
        <f t="shared" ref="F33:H34" si="3">F32</f>
        <v>1</v>
      </c>
      <c r="G33" s="7">
        <f t="shared" si="3"/>
        <v>1</v>
      </c>
      <c r="H33" s="7">
        <f t="shared" si="3"/>
        <v>1</v>
      </c>
      <c r="K33" t="s">
        <v>232</v>
      </c>
      <c r="N33" s="2">
        <v>400</v>
      </c>
      <c r="O33" s="2">
        <v>400</v>
      </c>
      <c r="P33" s="2">
        <v>400</v>
      </c>
      <c r="S33" t="s">
        <v>232</v>
      </c>
      <c r="V33" s="2">
        <v>400</v>
      </c>
      <c r="W33" s="2">
        <v>400</v>
      </c>
      <c r="X33" s="2">
        <v>800</v>
      </c>
    </row>
    <row r="34" spans="2:24" x14ac:dyDescent="0.25">
      <c r="C34" t="s">
        <v>233</v>
      </c>
      <c r="F34" s="7">
        <f t="shared" si="3"/>
        <v>1</v>
      </c>
      <c r="G34" s="7">
        <f t="shared" si="3"/>
        <v>1</v>
      </c>
      <c r="H34" s="7">
        <f t="shared" si="3"/>
        <v>1</v>
      </c>
      <c r="K34" t="s">
        <v>233</v>
      </c>
      <c r="N34" s="2">
        <v>100</v>
      </c>
      <c r="O34" s="2">
        <v>50</v>
      </c>
      <c r="P34" s="2">
        <v>50</v>
      </c>
      <c r="S34" t="s">
        <v>233</v>
      </c>
      <c r="V34" s="2">
        <v>50</v>
      </c>
      <c r="W34" s="2">
        <v>50</v>
      </c>
      <c r="X34" s="2">
        <v>50</v>
      </c>
    </row>
    <row r="35" spans="2:24" x14ac:dyDescent="0.25">
      <c r="F35" s="6"/>
      <c r="N35" s="6"/>
      <c r="V35" s="6"/>
    </row>
    <row r="36" spans="2:24" x14ac:dyDescent="0.25">
      <c r="C36" t="s">
        <v>36</v>
      </c>
      <c r="F36" s="2" t="s">
        <v>211</v>
      </c>
      <c r="K36" t="s">
        <v>36</v>
      </c>
      <c r="N36" s="2" t="s">
        <v>211</v>
      </c>
      <c r="S36" t="s">
        <v>36</v>
      </c>
      <c r="V36" s="2" t="s">
        <v>211</v>
      </c>
    </row>
    <row r="37" spans="2:24" x14ac:dyDescent="0.25">
      <c r="C37" t="s">
        <v>37</v>
      </c>
      <c r="F37" s="2" t="s">
        <v>211</v>
      </c>
      <c r="G37" s="2" t="s">
        <v>211</v>
      </c>
      <c r="H37" s="2" t="s">
        <v>211</v>
      </c>
      <c r="K37" t="s">
        <v>37</v>
      </c>
      <c r="N37" s="2" t="s">
        <v>211</v>
      </c>
      <c r="O37" s="2" t="s">
        <v>211</v>
      </c>
      <c r="P37" s="2" t="s">
        <v>211</v>
      </c>
      <c r="S37" t="s">
        <v>37</v>
      </c>
      <c r="V37" s="2" t="s">
        <v>211</v>
      </c>
      <c r="W37" s="2" t="s">
        <v>211</v>
      </c>
      <c r="X37" s="2" t="s">
        <v>211</v>
      </c>
    </row>
    <row r="40" spans="2:24" ht="18.75" x14ac:dyDescent="0.3">
      <c r="B40" s="1"/>
    </row>
  </sheetData>
  <pageMargins left="0.7" right="0.7" top="0.75" bottom="0.75" header="0.3" footer="0.3"/>
  <drawing r:id="rId1"/>
  <webPublishItems count="1">
    <webPublishItem id="16094" divId="AppLogic Sizing Calculator-07-09-13 v2_16094" sourceType="sheet" destinationFile="C:\Users\wolda04\Documents\AppLogic\from Marketing\GridSizing\GridSizeAppFactors.htm" autoRepublish="1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K11"/>
  <sheetViews>
    <sheetView workbookViewId="0">
      <selection activeCell="G10" sqref="G10"/>
    </sheetView>
  </sheetViews>
  <sheetFormatPr defaultRowHeight="15" x14ac:dyDescent="0.25"/>
  <cols>
    <col min="2" max="2" width="3.85546875" customWidth="1"/>
    <col min="4" max="4" width="5.42578125" customWidth="1"/>
    <col min="5" max="5" width="12.85546875" customWidth="1"/>
    <col min="6" max="7" width="12.7109375" customWidth="1"/>
    <col min="8" max="8" width="14" customWidth="1"/>
    <col min="10" max="10" width="18.42578125" customWidth="1"/>
  </cols>
  <sheetData>
    <row r="6" spans="2:11" ht="18.75" x14ac:dyDescent="0.3">
      <c r="B6" s="1" t="s">
        <v>41</v>
      </c>
      <c r="F6" s="31" t="s">
        <v>207</v>
      </c>
      <c r="G6" s="31" t="s">
        <v>208</v>
      </c>
      <c r="H6" s="31" t="s">
        <v>290</v>
      </c>
    </row>
    <row r="7" spans="2:11" x14ac:dyDescent="0.25">
      <c r="F7" s="30" t="str">
        <f>'App Factors'!F4</f>
        <v>CentOS VDS</v>
      </c>
      <c r="G7" s="30" t="str">
        <f>'App Factors'!N4</f>
        <v>LAMP Stack</v>
      </c>
      <c r="H7" s="30" t="str">
        <f>'App Factors'!V4</f>
        <v>Sugar CRM</v>
      </c>
    </row>
    <row r="8" spans="2:11" x14ac:dyDescent="0.25">
      <c r="C8" t="s">
        <v>42</v>
      </c>
      <c r="F8" s="14">
        <v>0</v>
      </c>
      <c r="G8" s="14">
        <v>0</v>
      </c>
      <c r="H8" s="14">
        <v>0</v>
      </c>
    </row>
    <row r="9" spans="2:11" x14ac:dyDescent="0.25">
      <c r="C9" t="s">
        <v>43</v>
      </c>
      <c r="F9" s="14">
        <v>0.5</v>
      </c>
      <c r="G9" s="14">
        <v>0.5</v>
      </c>
      <c r="H9" s="14">
        <v>0</v>
      </c>
    </row>
    <row r="10" spans="2:11" x14ac:dyDescent="0.25">
      <c r="C10" t="s">
        <v>44</v>
      </c>
      <c r="F10" s="14">
        <v>0.2</v>
      </c>
      <c r="G10" s="14">
        <v>0</v>
      </c>
      <c r="H10" s="14">
        <v>0</v>
      </c>
      <c r="J10" s="16" t="s">
        <v>209</v>
      </c>
      <c r="K10" s="14">
        <f>F8+F9+F10+G8+G9+G10+H8+H9+H10</f>
        <v>1.2</v>
      </c>
    </row>
    <row r="11" spans="2:11" x14ac:dyDescent="0.25">
      <c r="J11" t="s">
        <v>244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K32"/>
  <sheetViews>
    <sheetView workbookViewId="0">
      <selection activeCell="G25" sqref="G25"/>
    </sheetView>
  </sheetViews>
  <sheetFormatPr defaultRowHeight="15" x14ac:dyDescent="0.25"/>
  <cols>
    <col min="2" max="2" width="3.85546875" customWidth="1"/>
    <col min="4" max="4" width="5.42578125" customWidth="1"/>
    <col min="5" max="5" width="12.85546875" customWidth="1"/>
    <col min="6" max="6" width="18.7109375" customWidth="1"/>
    <col min="10" max="10" width="10.5703125" customWidth="1"/>
  </cols>
  <sheetData>
    <row r="6" spans="2:11" ht="18.75" x14ac:dyDescent="0.3">
      <c r="B6" s="1" t="s">
        <v>15</v>
      </c>
      <c r="F6" t="s">
        <v>333</v>
      </c>
    </row>
    <row r="7" spans="2:11" x14ac:dyDescent="0.25">
      <c r="C7" t="s">
        <v>57</v>
      </c>
      <c r="F7" s="17">
        <v>2</v>
      </c>
    </row>
    <row r="8" spans="2:11" x14ac:dyDescent="0.25">
      <c r="C8" t="s">
        <v>241</v>
      </c>
      <c r="F8" s="17">
        <v>6</v>
      </c>
    </row>
    <row r="9" spans="2:11" x14ac:dyDescent="0.25">
      <c r="C9" t="s">
        <v>18</v>
      </c>
      <c r="F9" s="17">
        <v>32</v>
      </c>
      <c r="J9" t="s">
        <v>240</v>
      </c>
      <c r="K9">
        <f>F9*1024</f>
        <v>32768</v>
      </c>
    </row>
    <row r="10" spans="2:11" x14ac:dyDescent="0.25">
      <c r="C10" t="s">
        <v>17</v>
      </c>
      <c r="F10" s="17">
        <v>4</v>
      </c>
    </row>
    <row r="11" spans="2:11" x14ac:dyDescent="0.25">
      <c r="C11" t="s">
        <v>19</v>
      </c>
      <c r="F11" s="17">
        <v>500</v>
      </c>
    </row>
    <row r="12" spans="2:11" x14ac:dyDescent="0.25">
      <c r="C12" t="s">
        <v>213</v>
      </c>
      <c r="F12" s="17"/>
      <c r="H12" t="s">
        <v>242</v>
      </c>
    </row>
    <row r="13" spans="2:11" x14ac:dyDescent="0.25">
      <c r="F13" s="18"/>
    </row>
    <row r="14" spans="2:11" ht="18.75" x14ac:dyDescent="0.3">
      <c r="B14" s="1" t="s">
        <v>20</v>
      </c>
      <c r="F14" s="18"/>
    </row>
    <row r="15" spans="2:11" x14ac:dyDescent="0.25">
      <c r="F15" s="18"/>
    </row>
    <row r="16" spans="2:11" x14ac:dyDescent="0.25">
      <c r="C16" t="s">
        <v>23</v>
      </c>
      <c r="F16" s="17">
        <v>1</v>
      </c>
      <c r="H16" t="s">
        <v>307</v>
      </c>
    </row>
    <row r="17" spans="2:8" x14ac:dyDescent="0.25">
      <c r="C17" t="s">
        <v>24</v>
      </c>
      <c r="F17" s="17">
        <v>1</v>
      </c>
      <c r="H17" t="s">
        <v>308</v>
      </c>
    </row>
    <row r="18" spans="2:8" x14ac:dyDescent="0.25">
      <c r="F18" s="18"/>
    </row>
    <row r="19" spans="2:8" ht="18.75" x14ac:dyDescent="0.3">
      <c r="B19" s="1" t="s">
        <v>21</v>
      </c>
      <c r="E19" t="s">
        <v>22</v>
      </c>
      <c r="F19" s="18"/>
    </row>
    <row r="20" spans="2:8" x14ac:dyDescent="0.25">
      <c r="F20" s="18"/>
    </row>
    <row r="21" spans="2:8" x14ac:dyDescent="0.25">
      <c r="C21" t="s">
        <v>292</v>
      </c>
      <c r="F21" s="17"/>
    </row>
    <row r="22" spans="2:8" x14ac:dyDescent="0.25">
      <c r="C22" t="s">
        <v>23</v>
      </c>
      <c r="F22" s="17"/>
    </row>
    <row r="23" spans="2:8" x14ac:dyDescent="0.25">
      <c r="F23" s="18"/>
    </row>
    <row r="24" spans="2:8" x14ac:dyDescent="0.25">
      <c r="F24" s="18"/>
    </row>
    <row r="25" spans="2:8" x14ac:dyDescent="0.25">
      <c r="C25" s="16" t="s">
        <v>64</v>
      </c>
      <c r="D25" s="16"/>
      <c r="E25" s="16"/>
      <c r="F25" s="17">
        <v>5</v>
      </c>
    </row>
    <row r="26" spans="2:8" x14ac:dyDescent="0.25">
      <c r="F26" s="18"/>
    </row>
    <row r="27" spans="2:8" x14ac:dyDescent="0.25">
      <c r="F27" s="18"/>
    </row>
    <row r="28" spans="2:8" x14ac:dyDescent="0.25">
      <c r="F28" s="18"/>
    </row>
    <row r="29" spans="2:8" x14ac:dyDescent="0.25">
      <c r="C29" t="s">
        <v>67</v>
      </c>
      <c r="F29" s="17">
        <v>3.7</v>
      </c>
    </row>
    <row r="32" spans="2:8" x14ac:dyDescent="0.25">
      <c r="C32" t="s">
        <v>332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O42"/>
  <sheetViews>
    <sheetView zoomScaleNormal="100" workbookViewId="0">
      <selection activeCell="G11" sqref="G11"/>
    </sheetView>
  </sheetViews>
  <sheetFormatPr defaultRowHeight="15" x14ac:dyDescent="0.25"/>
  <cols>
    <col min="2" max="2" width="3.85546875" customWidth="1"/>
    <col min="4" max="4" width="5.42578125" customWidth="1"/>
    <col min="5" max="5" width="10.28515625" customWidth="1"/>
    <col min="6" max="6" width="18.7109375" customWidth="1"/>
    <col min="8" max="8" width="9.140625" customWidth="1"/>
    <col min="9" max="9" width="18" customWidth="1"/>
    <col min="12" max="12" width="17.140625" customWidth="1"/>
  </cols>
  <sheetData>
    <row r="2" spans="2:15" ht="18.75" x14ac:dyDescent="0.3">
      <c r="I2" s="33" t="s">
        <v>298</v>
      </c>
    </row>
    <row r="3" spans="2:15" x14ac:dyDescent="0.25">
      <c r="I3" t="s">
        <v>47</v>
      </c>
      <c r="M3" t="s">
        <v>330</v>
      </c>
    </row>
    <row r="6" spans="2:15" ht="18.75" x14ac:dyDescent="0.3">
      <c r="B6" s="1" t="s">
        <v>14</v>
      </c>
      <c r="I6" t="s">
        <v>45</v>
      </c>
    </row>
    <row r="8" spans="2:15" ht="15.75" x14ac:dyDescent="0.25">
      <c r="C8" s="20" t="str">
        <f>CONCATENATE("Number of ",'App Factors'!F4)</f>
        <v>Number of CentOS VDS</v>
      </c>
      <c r="F8" s="27">
        <f>Calculations!N30</f>
        <v>0</v>
      </c>
      <c r="G8" s="26" t="s">
        <v>54</v>
      </c>
      <c r="I8" s="27">
        <f>Calculations!O30</f>
        <v>4</v>
      </c>
      <c r="J8" s="26" t="s">
        <v>55</v>
      </c>
      <c r="L8" s="27">
        <f>Calculations!P30</f>
        <v>1</v>
      </c>
      <c r="M8" s="26" t="s">
        <v>56</v>
      </c>
      <c r="O8" s="21"/>
    </row>
    <row r="9" spans="2:15" ht="15.75" x14ac:dyDescent="0.25">
      <c r="C9" s="20" t="str">
        <f>CONCATENATE("Number of ",'App Factors'!N4)</f>
        <v>Number of LAMP Stack</v>
      </c>
      <c r="F9" s="27">
        <f>Calculations!Q30</f>
        <v>0</v>
      </c>
      <c r="G9" s="26" t="s">
        <v>54</v>
      </c>
      <c r="I9" s="27">
        <f>Calculations!R30</f>
        <v>4</v>
      </c>
      <c r="J9" s="26" t="s">
        <v>55</v>
      </c>
      <c r="L9" s="27">
        <f>Calculations!S30</f>
        <v>0</v>
      </c>
      <c r="M9" s="26" t="s">
        <v>56</v>
      </c>
      <c r="O9" s="21"/>
    </row>
    <row r="10" spans="2:15" ht="15.75" x14ac:dyDescent="0.25">
      <c r="C10" s="20" t="str">
        <f>CONCATENATE("Number of ",'App Factors'!V4)</f>
        <v>Number of Sugar CRM</v>
      </c>
      <c r="F10" s="27">
        <f>Calculations!T30</f>
        <v>0</v>
      </c>
      <c r="G10" s="26" t="s">
        <v>54</v>
      </c>
      <c r="I10" s="27">
        <f>Calculations!U30</f>
        <v>0</v>
      </c>
      <c r="J10" s="26" t="s">
        <v>55</v>
      </c>
      <c r="L10" s="27">
        <f>Calculations!V30</f>
        <v>0</v>
      </c>
      <c r="M10" s="26" t="s">
        <v>56</v>
      </c>
      <c r="O10" s="21"/>
    </row>
    <row r="11" spans="2:15" ht="16.5" thickBot="1" x14ac:dyDescent="0.3">
      <c r="C11" t="s">
        <v>52</v>
      </c>
      <c r="F11" s="28">
        <f>'Grid Factors'!F25</f>
        <v>5</v>
      </c>
    </row>
    <row r="12" spans="2:15" ht="18.75" thickTop="1" thickBot="1" x14ac:dyDescent="0.35">
      <c r="C12" t="s">
        <v>53</v>
      </c>
      <c r="F12" s="28">
        <f>F11*'Grid Factors'!F7</f>
        <v>10</v>
      </c>
      <c r="I12" t="s">
        <v>291</v>
      </c>
      <c r="L12" s="34">
        <f>SUM(F8+F9+F10+I8+I9+I10+L8+L9+L10)</f>
        <v>9</v>
      </c>
    </row>
    <row r="13" spans="2:15" ht="15.75" thickTop="1" x14ac:dyDescent="0.25"/>
    <row r="15" spans="2:15" ht="18.75" x14ac:dyDescent="0.3">
      <c r="B15" s="1" t="s">
        <v>0</v>
      </c>
    </row>
    <row r="17" spans="2:14" ht="15.75" x14ac:dyDescent="0.25">
      <c r="C17" t="s">
        <v>1</v>
      </c>
      <c r="E17" t="s">
        <v>3</v>
      </c>
      <c r="F17" s="28" t="str">
        <f>Calculations!E48</f>
        <v>Bandwidth</v>
      </c>
    </row>
    <row r="18" spans="2:14" ht="15.75" x14ac:dyDescent="0.25">
      <c r="E18" t="s">
        <v>4</v>
      </c>
      <c r="F18" s="28" t="str">
        <f>Calculations!E49</f>
        <v>CPU</v>
      </c>
    </row>
    <row r="21" spans="2:14" x14ac:dyDescent="0.25">
      <c r="C21" t="s">
        <v>2</v>
      </c>
      <c r="E21" t="s">
        <v>3</v>
      </c>
      <c r="F21" s="37" t="s">
        <v>331</v>
      </c>
    </row>
    <row r="22" spans="2:14" x14ac:dyDescent="0.25">
      <c r="E22" t="s">
        <v>5</v>
      </c>
      <c r="F22" s="37" t="s">
        <v>331</v>
      </c>
    </row>
    <row r="27" spans="2:14" ht="18.75" x14ac:dyDescent="0.3">
      <c r="B27" s="1" t="s">
        <v>252</v>
      </c>
    </row>
    <row r="28" spans="2:14" x14ac:dyDescent="0.25">
      <c r="F28" s="8" t="s">
        <v>253</v>
      </c>
      <c r="I28" s="8" t="s">
        <v>255</v>
      </c>
      <c r="L28" t="s">
        <v>286</v>
      </c>
      <c r="N28" t="s">
        <v>283</v>
      </c>
    </row>
    <row r="29" spans="2:14" x14ac:dyDescent="0.25">
      <c r="E29" t="s">
        <v>73</v>
      </c>
      <c r="F29" s="23">
        <f>Calculations!E23</f>
        <v>43</v>
      </c>
      <c r="G29" t="s">
        <v>258</v>
      </c>
      <c r="H29" t="s">
        <v>73</v>
      </c>
      <c r="I29" s="23">
        <f>Calculations!AK11</f>
        <v>10.6</v>
      </c>
      <c r="J29" t="s">
        <v>258</v>
      </c>
      <c r="K29" t="s">
        <v>73</v>
      </c>
      <c r="L29" s="22">
        <f>I29/F29</f>
        <v>0.24651162790697673</v>
      </c>
      <c r="N29" s="29" t="str">
        <f>CONCATENATE(Calculations!E16,"x")</f>
        <v>1x</v>
      </c>
    </row>
    <row r="30" spans="2:14" x14ac:dyDescent="0.25">
      <c r="E30" t="s">
        <v>28</v>
      </c>
      <c r="F30" s="23">
        <f>Calculations!E21</f>
        <v>128248</v>
      </c>
      <c r="G30" t="s">
        <v>256</v>
      </c>
      <c r="H30" t="s">
        <v>28</v>
      </c>
      <c r="I30" s="23">
        <f>Calculations!AK12</f>
        <v>18176</v>
      </c>
      <c r="J30" t="s">
        <v>256</v>
      </c>
      <c r="K30" t="s">
        <v>28</v>
      </c>
      <c r="L30" s="22">
        <f>I30/F30</f>
        <v>0.14172540702389122</v>
      </c>
    </row>
    <row r="31" spans="2:14" x14ac:dyDescent="0.25">
      <c r="E31" t="s">
        <v>29</v>
      </c>
      <c r="F31" s="23">
        <f>Calculations!E25</f>
        <v>4921.5</v>
      </c>
      <c r="G31" t="s">
        <v>257</v>
      </c>
      <c r="H31" t="s">
        <v>29</v>
      </c>
      <c r="I31" s="23">
        <f>Calculations!AK13</f>
        <v>104</v>
      </c>
      <c r="J31" t="s">
        <v>257</v>
      </c>
      <c r="K31" t="s">
        <v>29</v>
      </c>
      <c r="L31" s="22">
        <f>I31/F31</f>
        <v>2.1131768769684041E-2</v>
      </c>
    </row>
    <row r="32" spans="2:14" x14ac:dyDescent="0.25">
      <c r="E32" t="s">
        <v>254</v>
      </c>
      <c r="F32" s="23">
        <f>Calculations!E26</f>
        <v>8000</v>
      </c>
      <c r="G32" t="s">
        <v>263</v>
      </c>
      <c r="H32" t="s">
        <v>254</v>
      </c>
      <c r="I32" s="23">
        <f>Calculations!AK15</f>
        <v>6805</v>
      </c>
      <c r="J32" t="s">
        <v>263</v>
      </c>
      <c r="K32" t="s">
        <v>254</v>
      </c>
      <c r="L32" s="22">
        <f>I32/F32</f>
        <v>0.85062499999999996</v>
      </c>
    </row>
    <row r="33" spans="2:12" x14ac:dyDescent="0.25">
      <c r="L33" t="s">
        <v>288</v>
      </c>
    </row>
    <row r="34" spans="2:12" ht="18.75" x14ac:dyDescent="0.3">
      <c r="B34" s="1" t="s">
        <v>321</v>
      </c>
      <c r="F34" t="str">
        <f>CONCATENATE("(Based on ", 'Grid Factors'!F10, " physical disks per server, and ", 'Grid Factors'!F25, " servers in the grid.)")</f>
        <v>(Based on 4 physical disks per server, and 5 servers in the grid.)</v>
      </c>
    </row>
    <row r="35" spans="2:12" x14ac:dyDescent="0.25">
      <c r="F35" s="8" t="s">
        <v>317</v>
      </c>
      <c r="G35" s="40" t="s">
        <v>318</v>
      </c>
      <c r="H35" s="40"/>
      <c r="I35" s="40" t="s">
        <v>319</v>
      </c>
      <c r="J35" s="40"/>
      <c r="K35" s="40" t="s">
        <v>320</v>
      </c>
      <c r="L35" s="40"/>
    </row>
    <row r="36" spans="2:12" x14ac:dyDescent="0.25">
      <c r="C36" t="s">
        <v>312</v>
      </c>
      <c r="F36" s="36">
        <f>Calculations!H71</f>
        <v>400</v>
      </c>
      <c r="G36" s="41">
        <f>Calculations!I71</f>
        <v>200</v>
      </c>
      <c r="H36" s="42">
        <f>Calculations!J71</f>
        <v>0</v>
      </c>
      <c r="I36" s="41">
        <f>Calculations!M71</f>
        <v>1000</v>
      </c>
      <c r="J36" s="42"/>
      <c r="K36" s="41">
        <f>Calculations!N71</f>
        <v>500</v>
      </c>
      <c r="L36" s="42"/>
    </row>
    <row r="37" spans="2:12" x14ac:dyDescent="0.25">
      <c r="C37" t="s">
        <v>313</v>
      </c>
      <c r="F37" s="36">
        <f>Calculations!H72</f>
        <v>600</v>
      </c>
      <c r="G37" s="41">
        <f>Calculations!I72</f>
        <v>300</v>
      </c>
      <c r="H37" s="42">
        <f>Calculations!J72</f>
        <v>0</v>
      </c>
      <c r="I37" s="41">
        <f>Calculations!M72</f>
        <v>1500</v>
      </c>
      <c r="J37" s="42"/>
      <c r="K37" s="41">
        <f>Calculations!N72</f>
        <v>750</v>
      </c>
      <c r="L37" s="42"/>
    </row>
    <row r="38" spans="2:12" x14ac:dyDescent="0.25">
      <c r="C38" t="s">
        <v>314</v>
      </c>
      <c r="F38" s="36">
        <f>Calculations!H73</f>
        <v>1000</v>
      </c>
      <c r="G38" s="41">
        <f>Calculations!I73</f>
        <v>500</v>
      </c>
      <c r="H38" s="42">
        <f>Calculations!J73</f>
        <v>0</v>
      </c>
      <c r="I38" s="41">
        <f>Calculations!M73</f>
        <v>2500</v>
      </c>
      <c r="J38" s="42"/>
      <c r="K38" s="41">
        <f>Calculations!N73</f>
        <v>1250</v>
      </c>
      <c r="L38" s="42"/>
    </row>
    <row r="39" spans="2:12" x14ac:dyDescent="0.25">
      <c r="C39" t="s">
        <v>315</v>
      </c>
      <c r="F39" s="36">
        <f>Calculations!H74</f>
        <v>1400</v>
      </c>
      <c r="G39" s="41">
        <f>Calculations!I74</f>
        <v>700</v>
      </c>
      <c r="H39" s="42">
        <f>Calculations!J74</f>
        <v>0</v>
      </c>
      <c r="I39" s="41">
        <f>Calculations!M74</f>
        <v>3500</v>
      </c>
      <c r="J39" s="42"/>
      <c r="K39" s="41">
        <f>Calculations!N74</f>
        <v>1750</v>
      </c>
      <c r="L39" s="42"/>
    </row>
    <row r="40" spans="2:12" x14ac:dyDescent="0.25">
      <c r="C40" t="s">
        <v>299</v>
      </c>
      <c r="F40" s="36">
        <f>Calculations!H75</f>
        <v>48000</v>
      </c>
      <c r="G40" s="41">
        <f>Calculations!I75</f>
        <v>24000</v>
      </c>
      <c r="H40" s="42">
        <f>Calculations!J75</f>
        <v>0</v>
      </c>
      <c r="I40" s="41">
        <f>Calculations!M75</f>
        <v>120000</v>
      </c>
      <c r="J40" s="42"/>
      <c r="K40" s="41">
        <f>Calculations!N75</f>
        <v>60000</v>
      </c>
      <c r="L40" s="42"/>
    </row>
    <row r="41" spans="2:12" x14ac:dyDescent="0.25">
      <c r="D41" t="s">
        <v>297</v>
      </c>
      <c r="E41" t="s">
        <v>316</v>
      </c>
    </row>
    <row r="42" spans="2:12" ht="18.75" x14ac:dyDescent="0.3">
      <c r="B42" s="1" t="s">
        <v>287</v>
      </c>
    </row>
  </sheetData>
  <mergeCells count="18">
    <mergeCell ref="K38:L38"/>
    <mergeCell ref="K39:L39"/>
    <mergeCell ref="K40:L40"/>
    <mergeCell ref="G38:H38"/>
    <mergeCell ref="G39:H39"/>
    <mergeCell ref="G40:H40"/>
    <mergeCell ref="I38:J38"/>
    <mergeCell ref="I39:J39"/>
    <mergeCell ref="I40:J40"/>
    <mergeCell ref="G35:H35"/>
    <mergeCell ref="I35:J35"/>
    <mergeCell ref="K35:L35"/>
    <mergeCell ref="I36:J36"/>
    <mergeCell ref="I37:J37"/>
    <mergeCell ref="G36:H36"/>
    <mergeCell ref="G37:H37"/>
    <mergeCell ref="K36:L36"/>
    <mergeCell ref="K37:L37"/>
  </mergeCells>
  <conditionalFormatting sqref="F8:F12 I8:I10 L8:L10">
    <cfRule type="cellIs" dxfId="6" priority="7" operator="greaterThan">
      <formula>0</formula>
    </cfRule>
  </conditionalFormatting>
  <conditionalFormatting sqref="L29:L32">
    <cfRule type="cellIs" dxfId="5" priority="3" operator="lessThan">
      <formula>0.2</formula>
    </cfRule>
    <cfRule type="cellIs" dxfId="4" priority="4" operator="greaterThan">
      <formula>0.9</formula>
    </cfRule>
    <cfRule type="cellIs" dxfId="3" priority="5" operator="greaterThan">
      <formula>0.9</formula>
    </cfRule>
    <cfRule type="cellIs" dxfId="2" priority="6" operator="greaterThan">
      <formula>0.9</formula>
    </cfRule>
  </conditionalFormatting>
  <conditionalFormatting sqref="L12">
    <cfRule type="cellIs" dxfId="1" priority="2" operator="greaterThan">
      <formula>0</formula>
    </cfRule>
  </conditionalFormatting>
  <conditionalFormatting sqref="N29">
    <cfRule type="cellIs" dxfId="0" priority="1" operator="equal">
      <formula>"1x"</formula>
    </cfRule>
  </conditionalFormatting>
  <pageMargins left="0.7" right="0.7" top="0.75" bottom="0.75" header="0.3" footer="0.3"/>
  <pageSetup orientation="portrait" verticalDpi="30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L37"/>
  <sheetViews>
    <sheetView workbookViewId="0">
      <selection activeCell="I35" sqref="I35"/>
    </sheetView>
  </sheetViews>
  <sheetFormatPr defaultRowHeight="15" x14ac:dyDescent="0.25"/>
  <cols>
    <col min="2" max="2" width="3.85546875" customWidth="1"/>
    <col min="4" max="4" width="5.42578125" customWidth="1"/>
    <col min="5" max="5" width="10.28515625" customWidth="1"/>
    <col min="6" max="6" width="18.7109375" customWidth="1"/>
  </cols>
  <sheetData>
    <row r="6" spans="2:12" ht="18.75" x14ac:dyDescent="0.3">
      <c r="B6" s="32" t="s">
        <v>6</v>
      </c>
      <c r="C6" s="32"/>
      <c r="D6" s="32"/>
      <c r="E6" s="32"/>
      <c r="F6" s="32"/>
    </row>
    <row r="8" spans="2:12" ht="18.75" x14ac:dyDescent="0.3">
      <c r="B8" s="4" t="s">
        <v>9</v>
      </c>
      <c r="J8" t="s">
        <v>59</v>
      </c>
      <c r="K8" t="s">
        <v>58</v>
      </c>
      <c r="L8" t="s">
        <v>60</v>
      </c>
    </row>
    <row r="9" spans="2:12" ht="14.45" customHeight="1" x14ac:dyDescent="0.3">
      <c r="B9" s="4"/>
    </row>
    <row r="10" spans="2:12" x14ac:dyDescent="0.25">
      <c r="C10" t="s">
        <v>7</v>
      </c>
      <c r="F10" s="3">
        <v>100</v>
      </c>
      <c r="J10">
        <v>50</v>
      </c>
      <c r="K10">
        <v>50</v>
      </c>
      <c r="L10">
        <v>100</v>
      </c>
    </row>
    <row r="11" spans="2:12" x14ac:dyDescent="0.25">
      <c r="C11" t="s">
        <v>66</v>
      </c>
      <c r="F11" s="3">
        <v>500</v>
      </c>
      <c r="J11">
        <v>255</v>
      </c>
      <c r="K11">
        <v>255</v>
      </c>
      <c r="L11">
        <v>500</v>
      </c>
    </row>
    <row r="12" spans="2:12" x14ac:dyDescent="0.25">
      <c r="C12" t="s">
        <v>65</v>
      </c>
      <c r="F12" s="3">
        <v>250</v>
      </c>
      <c r="J12">
        <v>127</v>
      </c>
      <c r="K12">
        <v>127</v>
      </c>
      <c r="L12">
        <v>250</v>
      </c>
    </row>
    <row r="13" spans="2:12" x14ac:dyDescent="0.25">
      <c r="C13" t="s">
        <v>25</v>
      </c>
      <c r="F13" s="3" t="s">
        <v>211</v>
      </c>
    </row>
    <row r="15" spans="2:12" ht="18.75" x14ac:dyDescent="0.3">
      <c r="B15" s="4" t="s">
        <v>13</v>
      </c>
    </row>
    <row r="16" spans="2:12" ht="14.45" customHeight="1" x14ac:dyDescent="0.3">
      <c r="B16" s="4"/>
    </row>
    <row r="17" spans="2:11" ht="14.45" customHeight="1" x14ac:dyDescent="0.3">
      <c r="B17" s="4"/>
      <c r="C17" t="s">
        <v>73</v>
      </c>
      <c r="F17" s="3">
        <v>1</v>
      </c>
    </row>
    <row r="18" spans="2:11" x14ac:dyDescent="0.25">
      <c r="C18" t="s">
        <v>329</v>
      </c>
      <c r="F18" s="3">
        <v>514</v>
      </c>
    </row>
    <row r="19" spans="2:11" x14ac:dyDescent="0.25">
      <c r="C19" t="s">
        <v>26</v>
      </c>
      <c r="F19" s="3">
        <v>5</v>
      </c>
    </row>
    <row r="20" spans="2:11" x14ac:dyDescent="0.25">
      <c r="C20" t="s">
        <v>7</v>
      </c>
      <c r="F20" s="3">
        <v>0</v>
      </c>
    </row>
    <row r="22" spans="2:11" ht="18.75" x14ac:dyDescent="0.3">
      <c r="B22" s="4" t="s">
        <v>8</v>
      </c>
    </row>
    <row r="23" spans="2:11" ht="14.45" customHeight="1" x14ac:dyDescent="0.3">
      <c r="B23" s="4"/>
    </row>
    <row r="24" spans="2:11" x14ac:dyDescent="0.25">
      <c r="C24" t="s">
        <v>10</v>
      </c>
      <c r="F24" s="3"/>
      <c r="H24" t="s">
        <v>73</v>
      </c>
      <c r="K24" s="3">
        <v>1024</v>
      </c>
    </row>
    <row r="25" spans="2:11" x14ac:dyDescent="0.25">
      <c r="C25" t="s">
        <v>11</v>
      </c>
      <c r="F25" s="3">
        <v>1024</v>
      </c>
      <c r="H25" t="s">
        <v>18</v>
      </c>
      <c r="K25" s="3"/>
    </row>
    <row r="26" spans="2:11" x14ac:dyDescent="0.25">
      <c r="C26" t="s">
        <v>12</v>
      </c>
      <c r="F26" s="3"/>
      <c r="H26" t="s">
        <v>26</v>
      </c>
      <c r="K26" s="3"/>
    </row>
    <row r="27" spans="2:11" x14ac:dyDescent="0.25">
      <c r="C27" t="s">
        <v>27</v>
      </c>
      <c r="F27" s="3"/>
      <c r="H27" t="s">
        <v>74</v>
      </c>
      <c r="K27" s="3"/>
    </row>
    <row r="28" spans="2:11" x14ac:dyDescent="0.25">
      <c r="C28" t="s">
        <v>50</v>
      </c>
      <c r="F28" s="3"/>
      <c r="H28" t="s">
        <v>7</v>
      </c>
      <c r="K28" s="3"/>
    </row>
    <row r="30" spans="2:11" x14ac:dyDescent="0.25">
      <c r="C30" t="s">
        <v>48</v>
      </c>
      <c r="F30" s="3">
        <v>3.7</v>
      </c>
      <c r="H30" t="s">
        <v>49</v>
      </c>
    </row>
    <row r="32" spans="2:11" ht="18.75" x14ac:dyDescent="0.3">
      <c r="B32" s="4" t="s">
        <v>214</v>
      </c>
    </row>
    <row r="33" spans="2:6" ht="14.25" customHeight="1" x14ac:dyDescent="0.3">
      <c r="B33" s="4"/>
    </row>
    <row r="34" spans="2:6" ht="15" customHeight="1" x14ac:dyDescent="0.3">
      <c r="B34" s="4"/>
      <c r="C34" t="s">
        <v>73</v>
      </c>
      <c r="F34" s="3">
        <v>1</v>
      </c>
    </row>
    <row r="35" spans="2:6" x14ac:dyDescent="0.25">
      <c r="C35" t="s">
        <v>329</v>
      </c>
      <c r="F35" s="3">
        <v>768</v>
      </c>
    </row>
    <row r="36" spans="2:6" x14ac:dyDescent="0.25">
      <c r="C36" t="s">
        <v>26</v>
      </c>
      <c r="F36" s="3">
        <v>66</v>
      </c>
    </row>
    <row r="37" spans="2:6" x14ac:dyDescent="0.25">
      <c r="C37" t="s">
        <v>7</v>
      </c>
      <c r="F37" s="3">
        <v>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K82"/>
  <sheetViews>
    <sheetView workbookViewId="0">
      <selection activeCell="H64" sqref="H64"/>
    </sheetView>
  </sheetViews>
  <sheetFormatPr defaultRowHeight="15" x14ac:dyDescent="0.25"/>
  <cols>
    <col min="2" max="2" width="3.85546875" customWidth="1"/>
    <col min="3" max="3" width="19.5703125" customWidth="1"/>
    <col min="4" max="4" width="11.140625" customWidth="1"/>
    <col min="5" max="5" width="15.140625" customWidth="1"/>
    <col min="6" max="6" width="1.7109375" customWidth="1"/>
    <col min="7" max="7" width="24.85546875" customWidth="1"/>
    <col min="8" max="8" width="14.140625" customWidth="1"/>
    <col min="10" max="10" width="1.7109375" customWidth="1"/>
    <col min="11" max="11" width="25.5703125" bestFit="1" customWidth="1"/>
    <col min="12" max="12" width="12" bestFit="1" customWidth="1"/>
    <col min="13" max="13" width="17.42578125" style="18" customWidth="1"/>
    <col min="14" max="16" width="10.42578125" customWidth="1"/>
    <col min="18" max="18" width="10.42578125" customWidth="1"/>
    <col min="21" max="21" width="10.28515625" customWidth="1"/>
    <col min="29" max="29" width="11.5703125" bestFit="1" customWidth="1"/>
    <col min="32" max="32" width="11" bestFit="1" customWidth="1"/>
    <col min="35" max="35" width="10.28515625" bestFit="1" customWidth="1"/>
  </cols>
  <sheetData>
    <row r="6" spans="2:37" ht="18.75" x14ac:dyDescent="0.3">
      <c r="B6" s="32" t="s">
        <v>6</v>
      </c>
      <c r="C6" s="32"/>
      <c r="D6" s="32"/>
      <c r="E6" s="32"/>
      <c r="F6" s="32"/>
    </row>
    <row r="7" spans="2:37" x14ac:dyDescent="0.25">
      <c r="N7" s="9" t="s">
        <v>215</v>
      </c>
      <c r="O7" t="str">
        <f>'App Factors'!F4</f>
        <v>CentOS VDS</v>
      </c>
      <c r="Q7" s="9" t="s">
        <v>216</v>
      </c>
      <c r="R7" t="str">
        <f>'App Factors'!N4</f>
        <v>LAMP Stack</v>
      </c>
      <c r="T7" s="9" t="s">
        <v>217</v>
      </c>
      <c r="U7" t="str">
        <f>'App Factors'!V4</f>
        <v>Sugar CRM</v>
      </c>
      <c r="Z7" t="s">
        <v>285</v>
      </c>
      <c r="AB7" s="9" t="s">
        <v>215</v>
      </c>
      <c r="AC7" t="str">
        <f>'App Factors'!F4</f>
        <v>CentOS VDS</v>
      </c>
      <c r="AE7" s="9" t="s">
        <v>216</v>
      </c>
      <c r="AF7" t="str">
        <f>'App Factors'!N4</f>
        <v>LAMP Stack</v>
      </c>
      <c r="AH7" s="9" t="s">
        <v>217</v>
      </c>
      <c r="AI7" t="str">
        <f>'App Factors'!V4</f>
        <v>Sugar CRM</v>
      </c>
    </row>
    <row r="9" spans="2:37" x14ac:dyDescent="0.25">
      <c r="C9" s="9" t="s">
        <v>75</v>
      </c>
      <c r="G9" s="9" t="s">
        <v>76</v>
      </c>
      <c r="K9" s="9" t="s">
        <v>153</v>
      </c>
      <c r="N9" t="s">
        <v>196</v>
      </c>
      <c r="O9" t="s">
        <v>197</v>
      </c>
      <c r="P9" t="s">
        <v>198</v>
      </c>
      <c r="Q9" t="s">
        <v>199</v>
      </c>
      <c r="R9" t="s">
        <v>200</v>
      </c>
      <c r="S9" t="s">
        <v>201</v>
      </c>
      <c r="T9" t="s">
        <v>202</v>
      </c>
      <c r="U9" t="s">
        <v>203</v>
      </c>
      <c r="V9" t="s">
        <v>204</v>
      </c>
      <c r="W9" s="25" t="s">
        <v>281</v>
      </c>
      <c r="AB9" t="s">
        <v>196</v>
      </c>
      <c r="AC9" t="s">
        <v>197</v>
      </c>
      <c r="AD9" t="s">
        <v>198</v>
      </c>
      <c r="AE9" t="s">
        <v>199</v>
      </c>
      <c r="AF9" t="s">
        <v>200</v>
      </c>
      <c r="AG9" t="s">
        <v>201</v>
      </c>
      <c r="AH9" t="s">
        <v>202</v>
      </c>
      <c r="AI9" t="s">
        <v>203</v>
      </c>
      <c r="AJ9" t="s">
        <v>204</v>
      </c>
      <c r="AK9" t="s">
        <v>264</v>
      </c>
    </row>
    <row r="10" spans="2:37" x14ac:dyDescent="0.25">
      <c r="C10" t="s">
        <v>77</v>
      </c>
      <c r="D10" t="s">
        <v>86</v>
      </c>
      <c r="E10">
        <f>'Grid Factors'!F25</f>
        <v>5</v>
      </c>
      <c r="G10" t="s">
        <v>94</v>
      </c>
      <c r="H10" t="s">
        <v>128</v>
      </c>
      <c r="I10">
        <f>'AppLogic Factors'!F10</f>
        <v>100</v>
      </c>
      <c r="K10" s="19" t="s">
        <v>147</v>
      </c>
      <c r="L10" s="19" t="s">
        <v>150</v>
      </c>
      <c r="M10" t="s">
        <v>247</v>
      </c>
      <c r="N10" s="12">
        <f>'App Factors'!F8</f>
        <v>1</v>
      </c>
      <c r="O10" s="11">
        <f>'App Factors'!G8</f>
        <v>1</v>
      </c>
      <c r="P10" s="13">
        <f>'App Factors'!H8</f>
        <v>1</v>
      </c>
      <c r="Q10" s="12">
        <f>'App Factors'!N8</f>
        <v>5</v>
      </c>
      <c r="R10" s="11">
        <f>'App Factors'!O8</f>
        <v>8</v>
      </c>
      <c r="S10" s="13">
        <f>'App Factors'!P8</f>
        <v>11</v>
      </c>
      <c r="T10" s="12">
        <f>'App Factors'!V8</f>
        <v>11</v>
      </c>
      <c r="U10" s="11">
        <f>'App Factors'!W8</f>
        <v>13</v>
      </c>
      <c r="V10" s="13">
        <f>'App Factors'!X8</f>
        <v>18</v>
      </c>
      <c r="W10">
        <f>ROW()</f>
        <v>10</v>
      </c>
      <c r="Z10" t="s">
        <v>247</v>
      </c>
      <c r="AB10" s="12">
        <f t="shared" ref="AB10:AJ10" si="0">N10*N28</f>
        <v>0</v>
      </c>
      <c r="AC10" s="11">
        <f t="shared" si="0"/>
        <v>4</v>
      </c>
      <c r="AD10" s="13">
        <f t="shared" si="0"/>
        <v>1</v>
      </c>
      <c r="AE10" s="12">
        <f t="shared" si="0"/>
        <v>0</v>
      </c>
      <c r="AF10" s="11">
        <f t="shared" si="0"/>
        <v>32</v>
      </c>
      <c r="AG10" s="13">
        <f t="shared" si="0"/>
        <v>0</v>
      </c>
      <c r="AH10" s="12">
        <f t="shared" si="0"/>
        <v>0</v>
      </c>
      <c r="AI10" s="11">
        <f t="shared" si="0"/>
        <v>0</v>
      </c>
      <c r="AJ10" s="13">
        <f t="shared" si="0"/>
        <v>0</v>
      </c>
      <c r="AK10">
        <f>SUM(AB10:AJ10)</f>
        <v>37</v>
      </c>
    </row>
    <row r="11" spans="2:37" x14ac:dyDescent="0.25">
      <c r="C11" t="s">
        <v>79</v>
      </c>
      <c r="D11" t="s">
        <v>87</v>
      </c>
      <c r="E11">
        <f>'Grid Factors'!F7</f>
        <v>2</v>
      </c>
      <c r="G11" t="s">
        <v>95</v>
      </c>
      <c r="H11" t="s">
        <v>129</v>
      </c>
      <c r="I11">
        <f>'AppLogic Factors'!F12</f>
        <v>250</v>
      </c>
      <c r="K11" s="19" t="s">
        <v>31</v>
      </c>
      <c r="L11" s="19" t="s">
        <v>151</v>
      </c>
      <c r="M11" t="s">
        <v>73</v>
      </c>
      <c r="N11" s="12">
        <f>'App Factors'!F12</f>
        <v>0.25</v>
      </c>
      <c r="O11" s="11">
        <f>'App Factors'!G12</f>
        <v>0.5</v>
      </c>
      <c r="P11" s="13">
        <f>'App Factors'!H12</f>
        <v>1</v>
      </c>
      <c r="Q11" s="12">
        <f>'App Factors'!N12</f>
        <v>1</v>
      </c>
      <c r="R11" s="11">
        <f>'App Factors'!O12</f>
        <v>1.9</v>
      </c>
      <c r="S11" s="13">
        <f>'App Factors'!P12</f>
        <v>3.9</v>
      </c>
      <c r="T11" s="12">
        <f>'App Factors'!V12</f>
        <v>2.15</v>
      </c>
      <c r="U11" s="11">
        <f>'App Factors'!W12</f>
        <v>2.85</v>
      </c>
      <c r="V11" s="13">
        <f>'App Factors'!X12</f>
        <v>4.05</v>
      </c>
      <c r="W11">
        <f>ROW()</f>
        <v>11</v>
      </c>
      <c r="Z11" t="s">
        <v>73</v>
      </c>
      <c r="AB11" s="12">
        <f t="shared" ref="AB11:AJ11" si="1">N11*N28</f>
        <v>0</v>
      </c>
      <c r="AC11" s="11">
        <f t="shared" si="1"/>
        <v>2</v>
      </c>
      <c r="AD11" s="13">
        <f t="shared" si="1"/>
        <v>1</v>
      </c>
      <c r="AE11" s="12">
        <f t="shared" si="1"/>
        <v>0</v>
      </c>
      <c r="AF11" s="11">
        <f t="shared" si="1"/>
        <v>7.6</v>
      </c>
      <c r="AG11" s="13">
        <f t="shared" si="1"/>
        <v>0</v>
      </c>
      <c r="AH11" s="12">
        <f t="shared" si="1"/>
        <v>0</v>
      </c>
      <c r="AI11" s="11">
        <f t="shared" si="1"/>
        <v>0</v>
      </c>
      <c r="AJ11" s="13">
        <f t="shared" si="1"/>
        <v>0</v>
      </c>
      <c r="AK11">
        <f>SUM(AB11:AJ11)</f>
        <v>10.6</v>
      </c>
    </row>
    <row r="12" spans="2:37" x14ac:dyDescent="0.25">
      <c r="C12" t="s">
        <v>78</v>
      </c>
      <c r="D12" t="s">
        <v>88</v>
      </c>
      <c r="E12">
        <f>'Grid Factors'!F8</f>
        <v>6</v>
      </c>
      <c r="G12" t="s">
        <v>96</v>
      </c>
      <c r="H12" t="s">
        <v>130</v>
      </c>
      <c r="I12" t="s">
        <v>211</v>
      </c>
      <c r="K12" t="s">
        <v>148</v>
      </c>
      <c r="L12" t="s">
        <v>152</v>
      </c>
      <c r="M12"/>
      <c r="N12" s="12">
        <f>'App Factors'!F14</f>
        <v>0.25</v>
      </c>
      <c r="O12" s="11">
        <f>'App Factors'!G14</f>
        <v>0.5</v>
      </c>
      <c r="P12" s="13">
        <f>'App Factors'!H14</f>
        <v>1</v>
      </c>
      <c r="Q12" s="12">
        <f>'App Factors'!N14</f>
        <v>0.05</v>
      </c>
      <c r="R12" s="11">
        <f>'App Factors'!O14</f>
        <v>0.05</v>
      </c>
      <c r="S12" s="13">
        <f>'App Factors'!P14</f>
        <v>0.05</v>
      </c>
      <c r="T12" s="12">
        <f>'App Factors'!V14</f>
        <v>0.05</v>
      </c>
      <c r="U12" s="11">
        <f>'App Factors'!W14</f>
        <v>0.05</v>
      </c>
      <c r="V12" s="13">
        <f>'App Factors'!X14</f>
        <v>0.05</v>
      </c>
      <c r="W12">
        <f>ROW()</f>
        <v>12</v>
      </c>
      <c r="Z12" t="s">
        <v>248</v>
      </c>
      <c r="AB12" s="12">
        <f t="shared" ref="AB12:AJ12" si="2">N14*N28</f>
        <v>0</v>
      </c>
      <c r="AC12" s="11">
        <f t="shared" si="2"/>
        <v>4096</v>
      </c>
      <c r="AD12" s="13">
        <f t="shared" si="2"/>
        <v>2048</v>
      </c>
      <c r="AE12" s="12">
        <f t="shared" si="2"/>
        <v>0</v>
      </c>
      <c r="AF12" s="11">
        <f t="shared" si="2"/>
        <v>12032</v>
      </c>
      <c r="AG12" s="13">
        <f t="shared" si="2"/>
        <v>0</v>
      </c>
      <c r="AH12" s="12">
        <f t="shared" si="2"/>
        <v>0</v>
      </c>
      <c r="AI12" s="11">
        <f t="shared" si="2"/>
        <v>0</v>
      </c>
      <c r="AJ12" s="13">
        <f t="shared" si="2"/>
        <v>0</v>
      </c>
      <c r="AK12">
        <f t="shared" ref="AK12:AK15" si="3">SUM(AB12:AJ12)</f>
        <v>18176</v>
      </c>
    </row>
    <row r="13" spans="2:37" ht="18.75" x14ac:dyDescent="0.3">
      <c r="B13" s="5"/>
      <c r="C13" t="s">
        <v>80</v>
      </c>
      <c r="D13" t="s">
        <v>177</v>
      </c>
      <c r="E13">
        <f>'Grid Factors'!K9</f>
        <v>32768</v>
      </c>
      <c r="G13" t="s">
        <v>97</v>
      </c>
      <c r="H13" t="s">
        <v>131</v>
      </c>
      <c r="I13">
        <f>'AppLogic Factors'!F11</f>
        <v>500</v>
      </c>
      <c r="K13" t="s">
        <v>149</v>
      </c>
      <c r="L13" s="6" t="s">
        <v>154</v>
      </c>
      <c r="M13"/>
      <c r="N13" s="12">
        <f>'App Factors'!F13</f>
        <v>0.25</v>
      </c>
      <c r="O13" s="11">
        <f>'App Factors'!G13</f>
        <v>0.5</v>
      </c>
      <c r="P13" s="13">
        <f>'App Factors'!H13</f>
        <v>1</v>
      </c>
      <c r="Q13" s="12">
        <f>'App Factors'!N13</f>
        <v>0.4</v>
      </c>
      <c r="R13" s="11">
        <f>'App Factors'!O13</f>
        <v>0.5</v>
      </c>
      <c r="S13" s="13">
        <f>'App Factors'!P13</f>
        <v>1</v>
      </c>
      <c r="T13" s="12">
        <f>'App Factors'!V13</f>
        <v>0.4</v>
      </c>
      <c r="U13" s="11">
        <f>'App Factors'!W13</f>
        <v>0.5</v>
      </c>
      <c r="V13" s="13">
        <f>'App Factors'!X13</f>
        <v>1</v>
      </c>
      <c r="W13">
        <f>ROW()</f>
        <v>13</v>
      </c>
      <c r="Z13" t="s">
        <v>29</v>
      </c>
      <c r="AB13" s="12">
        <f t="shared" ref="AB13:AJ13" si="4">N17*N28</f>
        <v>0</v>
      </c>
      <c r="AC13" s="11">
        <f t="shared" si="4"/>
        <v>40</v>
      </c>
      <c r="AD13" s="13">
        <f t="shared" si="4"/>
        <v>40</v>
      </c>
      <c r="AE13" s="12">
        <f t="shared" si="4"/>
        <v>0</v>
      </c>
      <c r="AF13" s="11">
        <f t="shared" si="4"/>
        <v>24</v>
      </c>
      <c r="AG13" s="13">
        <f t="shared" si="4"/>
        <v>0</v>
      </c>
      <c r="AH13" s="12">
        <f t="shared" si="4"/>
        <v>0</v>
      </c>
      <c r="AI13" s="11">
        <f t="shared" si="4"/>
        <v>0</v>
      </c>
      <c r="AJ13" s="13">
        <f t="shared" si="4"/>
        <v>0</v>
      </c>
      <c r="AK13">
        <f t="shared" si="3"/>
        <v>104</v>
      </c>
    </row>
    <row r="14" spans="2:37" x14ac:dyDescent="0.25">
      <c r="B14" s="6"/>
      <c r="C14" t="s">
        <v>81</v>
      </c>
      <c r="D14" t="s">
        <v>89</v>
      </c>
      <c r="E14">
        <f>'Grid Factors'!F10</f>
        <v>4</v>
      </c>
      <c r="G14" t="s">
        <v>98</v>
      </c>
      <c r="H14" t="s">
        <v>132</v>
      </c>
      <c r="I14">
        <f>'AppLogic Factors'!F17</f>
        <v>1</v>
      </c>
      <c r="K14" s="19" t="s">
        <v>266</v>
      </c>
      <c r="L14" s="24" t="s">
        <v>155</v>
      </c>
      <c r="M14" t="s">
        <v>248</v>
      </c>
      <c r="N14" s="12">
        <f>'App Factors'!F18</f>
        <v>256</v>
      </c>
      <c r="O14" s="11">
        <f>'App Factors'!G18</f>
        <v>1024</v>
      </c>
      <c r="P14" s="13">
        <f>'App Factors'!H18</f>
        <v>2048</v>
      </c>
      <c r="Q14" s="12">
        <f>'App Factors'!N18</f>
        <v>1568</v>
      </c>
      <c r="R14" s="11">
        <f>'App Factors'!O18</f>
        <v>3008</v>
      </c>
      <c r="S14" s="13">
        <f>'App Factors'!P18</f>
        <v>5504</v>
      </c>
      <c r="T14" s="12">
        <f>'App Factors'!V18</f>
        <v>3008</v>
      </c>
      <c r="U14" s="11">
        <f>'App Factors'!W18</f>
        <v>4544</v>
      </c>
      <c r="V14" s="13">
        <f>'App Factors'!X18</f>
        <v>7936</v>
      </c>
      <c r="W14">
        <f>ROW()</f>
        <v>14</v>
      </c>
      <c r="Z14" t="s">
        <v>249</v>
      </c>
      <c r="AB14" s="12">
        <f t="shared" ref="AB14:AJ14" si="5">N18*N28</f>
        <v>0</v>
      </c>
      <c r="AC14" s="11">
        <f t="shared" si="5"/>
        <v>4</v>
      </c>
      <c r="AD14" s="13">
        <f t="shared" si="5"/>
        <v>1</v>
      </c>
      <c r="AE14" s="12">
        <f t="shared" si="5"/>
        <v>0</v>
      </c>
      <c r="AF14" s="11">
        <f t="shared" si="5"/>
        <v>48</v>
      </c>
      <c r="AG14" s="13">
        <f t="shared" si="5"/>
        <v>0</v>
      </c>
      <c r="AH14" s="12">
        <f t="shared" si="5"/>
        <v>0</v>
      </c>
      <c r="AI14" s="11">
        <f t="shared" si="5"/>
        <v>0</v>
      </c>
      <c r="AJ14" s="13">
        <f t="shared" si="5"/>
        <v>0</v>
      </c>
      <c r="AK14">
        <f t="shared" si="3"/>
        <v>53</v>
      </c>
    </row>
    <row r="15" spans="2:37" x14ac:dyDescent="0.25">
      <c r="B15" s="6"/>
      <c r="C15" t="s">
        <v>82</v>
      </c>
      <c r="D15" t="s">
        <v>90</v>
      </c>
      <c r="E15">
        <f>'Grid Factors'!F11</f>
        <v>500</v>
      </c>
      <c r="G15" t="s">
        <v>99</v>
      </c>
      <c r="H15" t="s">
        <v>133</v>
      </c>
      <c r="I15">
        <f>'AppLogic Factors'!F18</f>
        <v>514</v>
      </c>
      <c r="K15" t="s">
        <v>267</v>
      </c>
      <c r="L15" s="6" t="s">
        <v>156</v>
      </c>
      <c r="M15"/>
      <c r="N15" s="12">
        <f>'App Factors'!F20</f>
        <v>256</v>
      </c>
      <c r="O15" s="11">
        <f>'App Factors'!G20</f>
        <v>1024</v>
      </c>
      <c r="P15" s="13">
        <f>'App Factors'!H20</f>
        <v>2048</v>
      </c>
      <c r="Q15" s="12">
        <f>'App Factors'!N20</f>
        <v>96</v>
      </c>
      <c r="R15" s="11">
        <f>'App Factors'!O20</f>
        <v>96</v>
      </c>
      <c r="S15" s="13">
        <f>'App Factors'!P20</f>
        <v>96</v>
      </c>
      <c r="T15" s="12">
        <f>'App Factors'!V20</f>
        <v>96</v>
      </c>
      <c r="U15" s="11">
        <f>'App Factors'!W20</f>
        <v>96</v>
      </c>
      <c r="V15" s="13">
        <f>'App Factors'!X20</f>
        <v>96</v>
      </c>
      <c r="W15">
        <f>ROW()</f>
        <v>15</v>
      </c>
      <c r="Z15" t="s">
        <v>30</v>
      </c>
      <c r="AB15" s="12">
        <f t="shared" ref="AB15:AJ15" si="6">N21*N28</f>
        <v>0</v>
      </c>
      <c r="AC15" s="11">
        <f t="shared" si="6"/>
        <v>4</v>
      </c>
      <c r="AD15" s="13">
        <f t="shared" si="6"/>
        <v>1</v>
      </c>
      <c r="AE15" s="12">
        <f t="shared" si="6"/>
        <v>0</v>
      </c>
      <c r="AF15" s="11">
        <f t="shared" si="6"/>
        <v>6800</v>
      </c>
      <c r="AG15" s="13">
        <f t="shared" si="6"/>
        <v>0</v>
      </c>
      <c r="AH15" s="12">
        <f t="shared" si="6"/>
        <v>0</v>
      </c>
      <c r="AI15" s="11">
        <f t="shared" si="6"/>
        <v>0</v>
      </c>
      <c r="AJ15" s="13">
        <f t="shared" si="6"/>
        <v>0</v>
      </c>
      <c r="AK15">
        <f t="shared" si="3"/>
        <v>6805</v>
      </c>
    </row>
    <row r="16" spans="2:37" x14ac:dyDescent="0.25">
      <c r="B16" s="6"/>
      <c r="C16" t="s">
        <v>83</v>
      </c>
      <c r="D16" t="s">
        <v>91</v>
      </c>
      <c r="E16">
        <f>IF(ISBLANK('Grid Factors'!F12),1,'Grid Factors'!F12)</f>
        <v>1</v>
      </c>
      <c r="G16" t="s">
        <v>100</v>
      </c>
      <c r="H16" t="s">
        <v>134</v>
      </c>
      <c r="I16">
        <f>'AppLogic Factors'!F20</f>
        <v>0</v>
      </c>
      <c r="K16" t="s">
        <v>268</v>
      </c>
      <c r="L16" s="6" t="s">
        <v>157</v>
      </c>
      <c r="M16"/>
      <c r="N16" s="12">
        <f>'App Factors'!F19</f>
        <v>256</v>
      </c>
      <c r="O16" s="11">
        <f>'App Factors'!G19</f>
        <v>1024</v>
      </c>
      <c r="P16" s="13">
        <f>'App Factors'!H19</f>
        <v>2048</v>
      </c>
      <c r="Q16" s="12">
        <f>'App Factors'!N19</f>
        <v>512</v>
      </c>
      <c r="R16" s="11">
        <f>'App Factors'!O19</f>
        <v>1024</v>
      </c>
      <c r="S16" s="13">
        <f>'App Factors'!P19</f>
        <v>2048</v>
      </c>
      <c r="T16" s="12">
        <f>'App Factors'!V19</f>
        <v>512</v>
      </c>
      <c r="U16" s="11">
        <f>'App Factors'!W19</f>
        <v>1024</v>
      </c>
      <c r="V16" s="13">
        <f>'App Factors'!X19</f>
        <v>2048</v>
      </c>
      <c r="W16">
        <f>ROW()</f>
        <v>16</v>
      </c>
    </row>
    <row r="17" spans="2:25" x14ac:dyDescent="0.25">
      <c r="B17" s="6"/>
      <c r="C17" t="s">
        <v>84</v>
      </c>
      <c r="D17" t="s">
        <v>92</v>
      </c>
      <c r="E17">
        <f>'Grid Factors'!F16</f>
        <v>1</v>
      </c>
      <c r="G17" t="s">
        <v>101</v>
      </c>
      <c r="H17" t="s">
        <v>135</v>
      </c>
      <c r="I17">
        <f>'AppLogic Factors'!F19</f>
        <v>5</v>
      </c>
      <c r="K17" s="19" t="s">
        <v>34</v>
      </c>
      <c r="L17" s="24" t="s">
        <v>158</v>
      </c>
      <c r="M17" t="s">
        <v>29</v>
      </c>
      <c r="N17" s="12">
        <f>'App Factors'!F25</f>
        <v>2</v>
      </c>
      <c r="O17" s="11">
        <f>'App Factors'!G25</f>
        <v>10</v>
      </c>
      <c r="P17" s="13">
        <f>'App Factors'!H25</f>
        <v>40</v>
      </c>
      <c r="Q17" s="12">
        <f>'App Factors'!N25</f>
        <v>2.5</v>
      </c>
      <c r="R17" s="11">
        <f>'App Factors'!O25</f>
        <v>6</v>
      </c>
      <c r="S17" s="13">
        <f>'App Factors'!P25</f>
        <v>33</v>
      </c>
      <c r="T17" s="12">
        <f>'App Factors'!V25</f>
        <v>3.5</v>
      </c>
      <c r="U17" s="11">
        <f>'App Factors'!W25</f>
        <v>5</v>
      </c>
      <c r="V17" s="13">
        <f>'App Factors'!X25</f>
        <v>26</v>
      </c>
      <c r="W17">
        <f>ROW()</f>
        <v>17</v>
      </c>
    </row>
    <row r="18" spans="2:25" x14ac:dyDescent="0.25">
      <c r="B18" s="6"/>
      <c r="C18" t="s">
        <v>85</v>
      </c>
      <c r="D18" t="s">
        <v>93</v>
      </c>
      <c r="E18">
        <f>'Grid Factors'!F21</f>
        <v>0</v>
      </c>
      <c r="G18" t="s">
        <v>102</v>
      </c>
      <c r="H18" t="s">
        <v>136</v>
      </c>
      <c r="I18">
        <v>1024</v>
      </c>
      <c r="K18" s="19" t="s">
        <v>68</v>
      </c>
      <c r="L18" s="24" t="s">
        <v>159</v>
      </c>
      <c r="M18" t="s">
        <v>249</v>
      </c>
      <c r="N18" s="12">
        <f>'App Factors'!F24</f>
        <v>1</v>
      </c>
      <c r="O18" s="11">
        <f>'App Factors'!G24</f>
        <v>1</v>
      </c>
      <c r="P18" s="13">
        <f>'App Factors'!H24</f>
        <v>1</v>
      </c>
      <c r="Q18" s="12">
        <f>'App Factors'!N24</f>
        <v>10</v>
      </c>
      <c r="R18" s="11">
        <f>'App Factors'!O24</f>
        <v>12</v>
      </c>
      <c r="S18" s="13">
        <f>'App Factors'!P24</f>
        <v>18</v>
      </c>
      <c r="T18" s="12">
        <f>'App Factors'!V24</f>
        <v>18</v>
      </c>
      <c r="U18" s="11">
        <f>'App Factors'!W24</f>
        <v>20</v>
      </c>
      <c r="V18" s="13">
        <f>'App Factors'!X24</f>
        <v>27</v>
      </c>
      <c r="W18">
        <f>ROW()</f>
        <v>18</v>
      </c>
    </row>
    <row r="19" spans="2:25" x14ac:dyDescent="0.25">
      <c r="B19" s="6"/>
      <c r="G19" t="s">
        <v>103</v>
      </c>
      <c r="H19" t="s">
        <v>137</v>
      </c>
      <c r="I19">
        <f>(I10*128)-I26</f>
        <v>12799</v>
      </c>
      <c r="K19" t="s">
        <v>269</v>
      </c>
      <c r="L19" s="6" t="s">
        <v>160</v>
      </c>
      <c r="M19"/>
      <c r="N19" s="12">
        <f>'App Factors'!F27</f>
        <v>2</v>
      </c>
      <c r="O19" s="11">
        <f>'App Factors'!G27</f>
        <v>10</v>
      </c>
      <c r="P19" s="13">
        <f>'App Factors'!H27</f>
        <v>40</v>
      </c>
      <c r="Q19" s="12">
        <f>'App Factors'!N27</f>
        <v>0.05</v>
      </c>
      <c r="R19" s="11">
        <f>'App Factors'!O27</f>
        <v>0.05</v>
      </c>
      <c r="S19" s="13">
        <f>'App Factors'!P27</f>
        <v>0.05</v>
      </c>
      <c r="T19" s="12">
        <f>'App Factors'!V27</f>
        <v>0.05</v>
      </c>
      <c r="U19" s="11">
        <f>'App Factors'!W27</f>
        <v>0.05</v>
      </c>
      <c r="V19" s="13">
        <f>'App Factors'!X27</f>
        <v>0.05</v>
      </c>
      <c r="W19">
        <f>ROW()</f>
        <v>19</v>
      </c>
    </row>
    <row r="20" spans="2:25" x14ac:dyDescent="0.25">
      <c r="B20" s="6"/>
      <c r="C20" s="10" t="s">
        <v>113</v>
      </c>
      <c r="D20" s="6"/>
      <c r="E20" s="6"/>
      <c r="G20" t="s">
        <v>104</v>
      </c>
      <c r="H20" t="s">
        <v>138</v>
      </c>
      <c r="I20">
        <f>128*I11</f>
        <v>32000</v>
      </c>
      <c r="K20" t="s">
        <v>270</v>
      </c>
      <c r="L20" s="6" t="s">
        <v>161</v>
      </c>
      <c r="M20"/>
      <c r="N20" s="12">
        <f>'App Factors'!F26</f>
        <v>2</v>
      </c>
      <c r="O20" s="11">
        <f>'App Factors'!G26</f>
        <v>10</v>
      </c>
      <c r="P20" s="13">
        <f>'App Factors'!H26</f>
        <v>40</v>
      </c>
      <c r="Q20" s="12">
        <f>'App Factors'!N26</f>
        <v>0.5</v>
      </c>
      <c r="R20" s="11">
        <f>'App Factors'!O26</f>
        <v>2</v>
      </c>
      <c r="S20" s="13">
        <f>'App Factors'!P26</f>
        <v>20</v>
      </c>
      <c r="T20" s="12">
        <f>'App Factors'!V26</f>
        <v>1</v>
      </c>
      <c r="U20" s="11">
        <f>'App Factors'!W26</f>
        <v>2</v>
      </c>
      <c r="V20" s="13">
        <f>'App Factors'!X26</f>
        <v>20</v>
      </c>
      <c r="W20">
        <f>ROW()</f>
        <v>20</v>
      </c>
    </row>
    <row r="21" spans="2:25" x14ac:dyDescent="0.25">
      <c r="C21" t="s">
        <v>114</v>
      </c>
      <c r="D21" t="s">
        <v>115</v>
      </c>
      <c r="E21">
        <f>((E10-1)*(E13-I15))-I25</f>
        <v>128248</v>
      </c>
      <c r="G21" t="s">
        <v>105</v>
      </c>
      <c r="H21" t="s">
        <v>139</v>
      </c>
      <c r="I21" t="s">
        <v>211</v>
      </c>
      <c r="K21" s="24" t="s">
        <v>69</v>
      </c>
      <c r="L21" s="24" t="s">
        <v>162</v>
      </c>
      <c r="M21" t="s">
        <v>30</v>
      </c>
      <c r="N21" s="12">
        <f>'App Factors'!F32</f>
        <v>1</v>
      </c>
      <c r="O21" s="11">
        <f>'App Factors'!G32</f>
        <v>1</v>
      </c>
      <c r="P21" s="13">
        <f>'App Factors'!H32</f>
        <v>1</v>
      </c>
      <c r="Q21" s="12">
        <f>'App Factors'!N32</f>
        <v>1050</v>
      </c>
      <c r="R21" s="11">
        <f>'App Factors'!O32</f>
        <v>1700</v>
      </c>
      <c r="S21" s="13">
        <f>'App Factors'!P32</f>
        <v>1700</v>
      </c>
      <c r="T21" s="12">
        <f>'App Factors'!V32</f>
        <v>1550</v>
      </c>
      <c r="U21" s="11">
        <f>'App Factors'!W32</f>
        <v>1750</v>
      </c>
      <c r="V21" s="13">
        <f>'App Factors'!X32</f>
        <v>2150</v>
      </c>
      <c r="W21">
        <f>ROW()</f>
        <v>21</v>
      </c>
    </row>
    <row r="22" spans="2:25" x14ac:dyDescent="0.25">
      <c r="C22" t="s">
        <v>116</v>
      </c>
      <c r="D22" t="s">
        <v>122</v>
      </c>
      <c r="E22">
        <f>MIN((((E10-1)*(I10-I16))-I26),I19)</f>
        <v>399</v>
      </c>
      <c r="G22" t="s">
        <v>106</v>
      </c>
      <c r="H22" t="s">
        <v>140</v>
      </c>
      <c r="I22">
        <f>128*I13</f>
        <v>64000</v>
      </c>
      <c r="K22" s="6" t="s">
        <v>70</v>
      </c>
      <c r="L22" s="6" t="s">
        <v>163</v>
      </c>
      <c r="M22"/>
      <c r="N22" s="12">
        <f>'App Factors'!F34</f>
        <v>1</v>
      </c>
      <c r="O22" s="11">
        <f>'App Factors'!G34</f>
        <v>1</v>
      </c>
      <c r="P22" s="13">
        <f>'App Factors'!H34</f>
        <v>1</v>
      </c>
      <c r="Q22" s="12">
        <f>'App Factors'!N34</f>
        <v>100</v>
      </c>
      <c r="R22" s="11">
        <f>'App Factors'!O34</f>
        <v>50</v>
      </c>
      <c r="S22" s="13">
        <f>'App Factors'!P34</f>
        <v>50</v>
      </c>
      <c r="T22" s="12">
        <f>'App Factors'!V34</f>
        <v>50</v>
      </c>
      <c r="U22" s="11">
        <f>'App Factors'!W34</f>
        <v>50</v>
      </c>
      <c r="V22" s="13">
        <f>'App Factors'!X34</f>
        <v>50</v>
      </c>
      <c r="W22">
        <f>ROW()</f>
        <v>22</v>
      </c>
    </row>
    <row r="23" spans="2:25" x14ac:dyDescent="0.25">
      <c r="C23" t="s">
        <v>117</v>
      </c>
      <c r="D23" t="s">
        <v>123</v>
      </c>
      <c r="E23">
        <f>MIN(((((E10-1)*((E11*E12)-I14))-I24)*E16),(I18*E16))</f>
        <v>43</v>
      </c>
      <c r="G23" t="s">
        <v>107</v>
      </c>
      <c r="H23" t="s">
        <v>141</v>
      </c>
      <c r="I23">
        <f>'AppLogic Factors'!F25</f>
        <v>1024</v>
      </c>
      <c r="K23" s="6" t="s">
        <v>71</v>
      </c>
      <c r="L23" s="6" t="s">
        <v>164</v>
      </c>
      <c r="M23"/>
      <c r="N23" s="12">
        <f>'App Factors'!F33</f>
        <v>1</v>
      </c>
      <c r="O23" s="11">
        <f>'App Factors'!G33</f>
        <v>1</v>
      </c>
      <c r="P23" s="13">
        <f>'App Factors'!H33</f>
        <v>1</v>
      </c>
      <c r="Q23" s="12">
        <f>'App Factors'!N33</f>
        <v>400</v>
      </c>
      <c r="R23" s="11">
        <f>'App Factors'!O33</f>
        <v>400</v>
      </c>
      <c r="S23" s="13">
        <f>'App Factors'!P33</f>
        <v>400</v>
      </c>
      <c r="T23" s="12">
        <f>'App Factors'!V33</f>
        <v>400</v>
      </c>
      <c r="U23" s="11">
        <f>'App Factors'!W33</f>
        <v>400</v>
      </c>
      <c r="V23" s="13">
        <f>'App Factors'!X33</f>
        <v>800</v>
      </c>
      <c r="W23">
        <f>ROW()</f>
        <v>23</v>
      </c>
    </row>
    <row r="24" spans="2:25" x14ac:dyDescent="0.25">
      <c r="C24" t="s">
        <v>118</v>
      </c>
      <c r="D24" t="s">
        <v>124</v>
      </c>
      <c r="E24">
        <f>MIN((((E10-1)*(I11-0))-I28),I20)</f>
        <v>997</v>
      </c>
      <c r="G24" t="s">
        <v>108</v>
      </c>
      <c r="H24" t="s">
        <v>142</v>
      </c>
      <c r="I24">
        <f>'AppLogic Factors'!F34</f>
        <v>1</v>
      </c>
      <c r="K24" s="6" t="s">
        <v>72</v>
      </c>
      <c r="L24" s="6" t="s">
        <v>165</v>
      </c>
      <c r="M24"/>
      <c r="N24" s="12" t="s">
        <v>211</v>
      </c>
      <c r="O24" s="11" t="s">
        <v>211</v>
      </c>
      <c r="P24" s="13" t="s">
        <v>211</v>
      </c>
      <c r="Q24" s="12" t="s">
        <v>211</v>
      </c>
      <c r="R24" s="11" t="s">
        <v>211</v>
      </c>
      <c r="S24" s="13" t="s">
        <v>211</v>
      </c>
      <c r="T24" s="12" t="s">
        <v>211</v>
      </c>
      <c r="U24" s="11" t="s">
        <v>211</v>
      </c>
      <c r="V24" s="13" t="s">
        <v>211</v>
      </c>
      <c r="W24">
        <f>ROW()</f>
        <v>24</v>
      </c>
    </row>
    <row r="25" spans="2:25" x14ac:dyDescent="0.25">
      <c r="C25" t="s">
        <v>119</v>
      </c>
      <c r="D25" t="s">
        <v>125</v>
      </c>
      <c r="E25">
        <f>(MAX((E10/2),1)*((E15*E14)-I17))-I27+E18</f>
        <v>4921.5</v>
      </c>
      <c r="G25" t="s">
        <v>109</v>
      </c>
      <c r="H25" t="s">
        <v>143</v>
      </c>
      <c r="I25">
        <f>'AppLogic Factors'!F35</f>
        <v>768</v>
      </c>
    </row>
    <row r="26" spans="2:25" x14ac:dyDescent="0.25">
      <c r="C26" t="s">
        <v>120</v>
      </c>
      <c r="D26" t="s">
        <v>126</v>
      </c>
      <c r="E26">
        <f>(E10-1)*E17*2000</f>
        <v>8000</v>
      </c>
      <c r="G26" t="s">
        <v>110</v>
      </c>
      <c r="H26" t="s">
        <v>144</v>
      </c>
      <c r="I26">
        <v>1</v>
      </c>
      <c r="K26" t="s">
        <v>205</v>
      </c>
      <c r="N26" s="15">
        <f>'Customer Factors'!F8</f>
        <v>0</v>
      </c>
      <c r="O26" s="15">
        <f>'Customer Factors'!F9</f>
        <v>0.5</v>
      </c>
      <c r="P26" s="15">
        <f>'Customer Factors'!F10</f>
        <v>0.2</v>
      </c>
      <c r="Q26" s="15">
        <f>'Customer Factors'!G8</f>
        <v>0</v>
      </c>
      <c r="R26" s="15">
        <f>'Customer Factors'!G9</f>
        <v>0.5</v>
      </c>
      <c r="S26" s="15">
        <f>'Customer Factors'!G10</f>
        <v>0</v>
      </c>
      <c r="T26" s="15">
        <f>'Customer Factors'!H8</f>
        <v>0</v>
      </c>
      <c r="U26" s="15">
        <f>'Customer Factors'!H9</f>
        <v>0</v>
      </c>
      <c r="V26" s="15">
        <f>'Customer Factors'!H10</f>
        <v>0</v>
      </c>
      <c r="X26" t="s">
        <v>210</v>
      </c>
      <c r="Y26" s="15">
        <f>SUM(N26:V26)</f>
        <v>1.2</v>
      </c>
    </row>
    <row r="27" spans="2:25" x14ac:dyDescent="0.25">
      <c r="C27" t="s">
        <v>121</v>
      </c>
      <c r="D27" t="s">
        <v>127</v>
      </c>
      <c r="E27" t="s">
        <v>211</v>
      </c>
      <c r="G27" t="s">
        <v>111</v>
      </c>
      <c r="H27" t="s">
        <v>145</v>
      </c>
      <c r="I27">
        <f>'AppLogic Factors'!F36</f>
        <v>66</v>
      </c>
      <c r="K27" t="s">
        <v>206</v>
      </c>
      <c r="N27" s="15">
        <f>N26/Y26</f>
        <v>0</v>
      </c>
      <c r="O27" s="15">
        <f>O26/Y26</f>
        <v>0.41666666666666669</v>
      </c>
      <c r="P27" s="15">
        <f>P26/Y26</f>
        <v>0.16666666666666669</v>
      </c>
      <c r="Q27" s="15">
        <f>Q26/Y26</f>
        <v>0</v>
      </c>
      <c r="R27" s="15">
        <f>R26/Y26</f>
        <v>0.41666666666666669</v>
      </c>
      <c r="S27" s="15">
        <f>S26/Y26</f>
        <v>0</v>
      </c>
      <c r="T27" s="15">
        <f>T26/Y26</f>
        <v>0</v>
      </c>
      <c r="U27" s="15">
        <f>U26/Y26</f>
        <v>0</v>
      </c>
      <c r="V27" s="15">
        <f>V26/Y26</f>
        <v>0</v>
      </c>
      <c r="X27" t="s">
        <v>210</v>
      </c>
      <c r="Y27" s="15">
        <f>SUM(N27:V27)</f>
        <v>1</v>
      </c>
    </row>
    <row r="28" spans="2:25" x14ac:dyDescent="0.25">
      <c r="G28" t="s">
        <v>112</v>
      </c>
      <c r="H28" t="s">
        <v>146</v>
      </c>
      <c r="I28">
        <v>3</v>
      </c>
      <c r="K28" t="s">
        <v>284</v>
      </c>
      <c r="N28">
        <f>N30</f>
        <v>0</v>
      </c>
      <c r="O28">
        <f t="shared" ref="O28:V28" si="7">O30</f>
        <v>4</v>
      </c>
      <c r="P28">
        <f t="shared" si="7"/>
        <v>1</v>
      </c>
      <c r="Q28">
        <f t="shared" si="7"/>
        <v>0</v>
      </c>
      <c r="R28">
        <f t="shared" si="7"/>
        <v>4</v>
      </c>
      <c r="S28">
        <f t="shared" si="7"/>
        <v>0</v>
      </c>
      <c r="T28">
        <f t="shared" si="7"/>
        <v>0</v>
      </c>
      <c r="U28">
        <f t="shared" si="7"/>
        <v>0</v>
      </c>
      <c r="V28">
        <f t="shared" si="7"/>
        <v>0</v>
      </c>
    </row>
    <row r="29" spans="2:25" x14ac:dyDescent="0.25">
      <c r="L29" t="s">
        <v>259</v>
      </c>
      <c r="N29">
        <f>D48*N27</f>
        <v>0</v>
      </c>
      <c r="O29">
        <f>D48*O27</f>
        <v>4.7020101093217352</v>
      </c>
      <c r="P29">
        <f>D48*P27</f>
        <v>1.8808040437286941</v>
      </c>
      <c r="Q29">
        <f>D48*Q27</f>
        <v>0</v>
      </c>
      <c r="R29">
        <f>D48*R27</f>
        <v>4.7020101093217352</v>
      </c>
      <c r="S29">
        <f>D48*S27</f>
        <v>0</v>
      </c>
      <c r="T29">
        <f>D48*T27</f>
        <v>0</v>
      </c>
      <c r="U29">
        <f>D48*U27</f>
        <v>0</v>
      </c>
      <c r="V29">
        <f>D48*V27</f>
        <v>0</v>
      </c>
    </row>
    <row r="30" spans="2:25" x14ac:dyDescent="0.25">
      <c r="G30" t="s">
        <v>174</v>
      </c>
      <c r="N30">
        <f>INT(N29)</f>
        <v>0</v>
      </c>
      <c r="O30">
        <f t="shared" ref="O30:V30" si="8">INT(O29)</f>
        <v>4</v>
      </c>
      <c r="P30">
        <f t="shared" si="8"/>
        <v>1</v>
      </c>
      <c r="Q30">
        <f t="shared" si="8"/>
        <v>0</v>
      </c>
      <c r="R30">
        <f t="shared" si="8"/>
        <v>4</v>
      </c>
      <c r="S30">
        <f t="shared" si="8"/>
        <v>0</v>
      </c>
      <c r="T30">
        <f t="shared" si="8"/>
        <v>0</v>
      </c>
      <c r="U30">
        <f t="shared" si="8"/>
        <v>0</v>
      </c>
      <c r="V30">
        <f t="shared" si="8"/>
        <v>0</v>
      </c>
    </row>
    <row r="31" spans="2:25" x14ac:dyDescent="0.25">
      <c r="C31" s="9" t="s">
        <v>166</v>
      </c>
      <c r="D31" t="s">
        <v>173</v>
      </c>
      <c r="G31" t="s">
        <v>178</v>
      </c>
      <c r="L31" t="s">
        <v>260</v>
      </c>
      <c r="X31" t="s">
        <v>264</v>
      </c>
      <c r="Y31" t="s">
        <v>265</v>
      </c>
    </row>
    <row r="32" spans="2:25" x14ac:dyDescent="0.25">
      <c r="C32" t="s">
        <v>168</v>
      </c>
      <c r="D32" t="s">
        <v>167</v>
      </c>
      <c r="G32" t="s">
        <v>175</v>
      </c>
      <c r="M32" s="18" t="s">
        <v>261</v>
      </c>
      <c r="N32" s="12">
        <f t="shared" ref="N32:V32" si="9">N10*N30</f>
        <v>0</v>
      </c>
      <c r="O32" s="11">
        <f t="shared" si="9"/>
        <v>4</v>
      </c>
      <c r="P32" s="13">
        <f t="shared" si="9"/>
        <v>1</v>
      </c>
      <c r="Q32" s="12">
        <f t="shared" si="9"/>
        <v>0</v>
      </c>
      <c r="R32" s="11">
        <f t="shared" si="9"/>
        <v>32</v>
      </c>
      <c r="S32" s="13">
        <f t="shared" si="9"/>
        <v>0</v>
      </c>
      <c r="T32" s="12">
        <f t="shared" si="9"/>
        <v>0</v>
      </c>
      <c r="U32" s="11">
        <f t="shared" si="9"/>
        <v>0</v>
      </c>
      <c r="V32" s="13">
        <f t="shared" si="9"/>
        <v>0</v>
      </c>
      <c r="W32" s="18" t="s">
        <v>261</v>
      </c>
      <c r="X32">
        <f>SUM(N32:V32)</f>
        <v>37</v>
      </c>
      <c r="Y32">
        <f>E22-X32</f>
        <v>362</v>
      </c>
    </row>
    <row r="33" spans="3:25" x14ac:dyDescent="0.25">
      <c r="C33" t="s">
        <v>169</v>
      </c>
      <c r="D33" t="s">
        <v>170</v>
      </c>
      <c r="G33" t="s">
        <v>176</v>
      </c>
      <c r="M33" s="18" t="s">
        <v>248</v>
      </c>
      <c r="N33" s="12">
        <f t="shared" ref="N33:V33" si="10">N14*N30</f>
        <v>0</v>
      </c>
      <c r="O33" s="11">
        <f t="shared" si="10"/>
        <v>4096</v>
      </c>
      <c r="P33" s="13">
        <f t="shared" si="10"/>
        <v>2048</v>
      </c>
      <c r="Q33" s="12">
        <f t="shared" si="10"/>
        <v>0</v>
      </c>
      <c r="R33" s="11">
        <f t="shared" si="10"/>
        <v>12032</v>
      </c>
      <c r="S33" s="13">
        <f t="shared" si="10"/>
        <v>0</v>
      </c>
      <c r="T33" s="12">
        <f t="shared" si="10"/>
        <v>0</v>
      </c>
      <c r="U33" s="11">
        <f t="shared" si="10"/>
        <v>0</v>
      </c>
      <c r="V33" s="13">
        <f t="shared" si="10"/>
        <v>0</v>
      </c>
      <c r="W33" s="18" t="s">
        <v>248</v>
      </c>
      <c r="X33">
        <f t="shared" ref="X33:X37" si="11">SUM(N33:V33)</f>
        <v>18176</v>
      </c>
      <c r="Y33">
        <f>E21-X33</f>
        <v>110072</v>
      </c>
    </row>
    <row r="34" spans="3:25" x14ac:dyDescent="0.25">
      <c r="C34" t="s">
        <v>171</v>
      </c>
      <c r="D34" t="s">
        <v>172</v>
      </c>
      <c r="G34" t="s">
        <v>179</v>
      </c>
      <c r="M34" s="18" t="s">
        <v>73</v>
      </c>
      <c r="N34" s="12">
        <f t="shared" ref="N34:V34" si="12">N11*N30</f>
        <v>0</v>
      </c>
      <c r="O34" s="11">
        <f t="shared" si="12"/>
        <v>2</v>
      </c>
      <c r="P34" s="13">
        <f t="shared" si="12"/>
        <v>1</v>
      </c>
      <c r="Q34" s="12">
        <f t="shared" si="12"/>
        <v>0</v>
      </c>
      <c r="R34" s="11">
        <f t="shared" si="12"/>
        <v>7.6</v>
      </c>
      <c r="S34" s="13">
        <f t="shared" si="12"/>
        <v>0</v>
      </c>
      <c r="T34" s="12">
        <f t="shared" si="12"/>
        <v>0</v>
      </c>
      <c r="U34" s="11">
        <f t="shared" si="12"/>
        <v>0</v>
      </c>
      <c r="V34" s="13">
        <f t="shared" si="12"/>
        <v>0</v>
      </c>
      <c r="W34" s="18" t="s">
        <v>73</v>
      </c>
      <c r="X34">
        <f t="shared" si="11"/>
        <v>10.6</v>
      </c>
      <c r="Y34">
        <f>E23-X34</f>
        <v>32.4</v>
      </c>
    </row>
    <row r="35" spans="3:25" x14ac:dyDescent="0.25">
      <c r="G35" t="s">
        <v>180</v>
      </c>
      <c r="M35" s="18" t="s">
        <v>262</v>
      </c>
      <c r="N35" s="12">
        <f t="shared" ref="N35:V35" si="13">N18*N30</f>
        <v>0</v>
      </c>
      <c r="O35" s="11">
        <f t="shared" si="13"/>
        <v>4</v>
      </c>
      <c r="P35" s="13">
        <f t="shared" si="13"/>
        <v>1</v>
      </c>
      <c r="Q35" s="12">
        <f t="shared" si="13"/>
        <v>0</v>
      </c>
      <c r="R35" s="11">
        <f t="shared" si="13"/>
        <v>48</v>
      </c>
      <c r="S35" s="13">
        <f t="shared" si="13"/>
        <v>0</v>
      </c>
      <c r="T35" s="12">
        <f t="shared" si="13"/>
        <v>0</v>
      </c>
      <c r="U35" s="11">
        <f t="shared" si="13"/>
        <v>0</v>
      </c>
      <c r="V35" s="13">
        <f t="shared" si="13"/>
        <v>0</v>
      </c>
      <c r="W35" s="18" t="s">
        <v>262</v>
      </c>
      <c r="X35">
        <f t="shared" si="11"/>
        <v>53</v>
      </c>
      <c r="Y35">
        <f>E24-X35</f>
        <v>944</v>
      </c>
    </row>
    <row r="36" spans="3:25" x14ac:dyDescent="0.25">
      <c r="G36" t="s">
        <v>181</v>
      </c>
      <c r="M36" s="18" t="s">
        <v>29</v>
      </c>
      <c r="N36" s="12">
        <f t="shared" ref="N36:V36" si="14">N17*N30</f>
        <v>0</v>
      </c>
      <c r="O36" s="11">
        <f t="shared" si="14"/>
        <v>40</v>
      </c>
      <c r="P36" s="13">
        <f t="shared" si="14"/>
        <v>40</v>
      </c>
      <c r="Q36" s="12">
        <f t="shared" si="14"/>
        <v>0</v>
      </c>
      <c r="R36" s="11">
        <f t="shared" si="14"/>
        <v>24</v>
      </c>
      <c r="S36" s="13">
        <f t="shared" si="14"/>
        <v>0</v>
      </c>
      <c r="T36" s="12">
        <f t="shared" si="14"/>
        <v>0</v>
      </c>
      <c r="U36" s="11">
        <f t="shared" si="14"/>
        <v>0</v>
      </c>
      <c r="V36" s="13">
        <f t="shared" si="14"/>
        <v>0</v>
      </c>
      <c r="W36" s="18" t="s">
        <v>29</v>
      </c>
      <c r="X36">
        <f t="shared" si="11"/>
        <v>104</v>
      </c>
      <c r="Y36">
        <f>E25-X36</f>
        <v>4817.5</v>
      </c>
    </row>
    <row r="37" spans="3:25" x14ac:dyDescent="0.25">
      <c r="C37" t="s">
        <v>295</v>
      </c>
      <c r="G37" t="s">
        <v>182</v>
      </c>
      <c r="M37" s="18" t="s">
        <v>254</v>
      </c>
      <c r="N37" s="12">
        <f>N21*N30</f>
        <v>0</v>
      </c>
      <c r="O37" s="11">
        <f t="shared" ref="O37:V37" si="15">O21*O30</f>
        <v>4</v>
      </c>
      <c r="P37" s="13">
        <f t="shared" si="15"/>
        <v>1</v>
      </c>
      <c r="Q37" s="12">
        <f t="shared" si="15"/>
        <v>0</v>
      </c>
      <c r="R37" s="11">
        <f t="shared" si="15"/>
        <v>6800</v>
      </c>
      <c r="S37" s="13">
        <f t="shared" si="15"/>
        <v>0</v>
      </c>
      <c r="T37" s="12">
        <f t="shared" si="15"/>
        <v>0</v>
      </c>
      <c r="U37" s="11">
        <f t="shared" si="15"/>
        <v>0</v>
      </c>
      <c r="V37" s="13">
        <f t="shared" si="15"/>
        <v>0</v>
      </c>
      <c r="W37" s="18" t="s">
        <v>254</v>
      </c>
      <c r="X37">
        <f t="shared" si="11"/>
        <v>6805</v>
      </c>
      <c r="Y37">
        <f>E26-X37</f>
        <v>1195</v>
      </c>
    </row>
    <row r="39" spans="3:25" x14ac:dyDescent="0.25">
      <c r="C39" s="9" t="s">
        <v>184</v>
      </c>
      <c r="E39" s="9" t="s">
        <v>246</v>
      </c>
      <c r="G39" s="9" t="s">
        <v>250</v>
      </c>
      <c r="H39" s="9" t="s">
        <v>251</v>
      </c>
      <c r="K39" s="9" t="s">
        <v>271</v>
      </c>
      <c r="L39" t="str">
        <f>E48</f>
        <v>Bandwidth</v>
      </c>
      <c r="M39" t="s">
        <v>282</v>
      </c>
    </row>
    <row r="40" spans="3:25" x14ac:dyDescent="0.25">
      <c r="C40" t="s">
        <v>245</v>
      </c>
      <c r="D40">
        <f>(N10*N27)+(O10*O27)+(P10*P27)+(Q10*Q27)+(R10*R27)+(S10*S27)+(T10*T27)+(U10*U27)+(V10*V27)</f>
        <v>3.916666666666667</v>
      </c>
      <c r="E40">
        <f>E22/D40</f>
        <v>101.8723404255319</v>
      </c>
      <c r="G40">
        <f>MIN(I23,E40)</f>
        <v>101.8723404255319</v>
      </c>
      <c r="H40" t="s">
        <v>247</v>
      </c>
      <c r="K40" t="s">
        <v>272</v>
      </c>
      <c r="L40">
        <f>VLOOKUP(L39,M10:W24,11,FALSE)</f>
        <v>21</v>
      </c>
      <c r="M40" s="18">
        <f ca="1">SMALL(INDIRECT(N40):INDIRECT(O40),9)</f>
        <v>2150</v>
      </c>
      <c r="N40" s="18" t="str">
        <f>ADDRESS(L40,14,1,1)</f>
        <v>$N$21</v>
      </c>
      <c r="O40" t="str">
        <f>ADDRESS(L40,22,1,1)</f>
        <v>$V$21</v>
      </c>
    </row>
    <row r="41" spans="3:25" x14ac:dyDescent="0.25">
      <c r="C41" t="s">
        <v>186</v>
      </c>
      <c r="D41">
        <f>(N14*N27)+(O14*O27)+(P14*P27)+(Q14*Q27)+(R14*R27)+(S14*S27)+(T14*T27)+(U14*U27)+(V14*V27)</f>
        <v>2021.3333333333335</v>
      </c>
      <c r="E41">
        <f>E21/D41</f>
        <v>63.44722955145118</v>
      </c>
      <c r="G41">
        <f>MIN(I23,E41)</f>
        <v>63.44722955145118</v>
      </c>
      <c r="H41" t="s">
        <v>248</v>
      </c>
      <c r="K41" t="s">
        <v>273</v>
      </c>
      <c r="L41">
        <f>L40</f>
        <v>21</v>
      </c>
      <c r="M41" s="18">
        <f ca="1">SMALL(INDIRECT(N41):INDIRECT(O41),8)</f>
        <v>1750</v>
      </c>
      <c r="N41" s="18" t="str">
        <f t="shared" ref="N41:N48" si="16">ADDRESS(L41,14,1,1)</f>
        <v>$N$21</v>
      </c>
      <c r="O41" t="str">
        <f t="shared" ref="O41:O48" si="17">ADDRESS(L41,22,1,1)</f>
        <v>$V$21</v>
      </c>
    </row>
    <row r="42" spans="3:25" x14ac:dyDescent="0.25">
      <c r="C42" t="s">
        <v>187</v>
      </c>
      <c r="D42">
        <f>(N11*N27)+(O11*O27)+(P11*P27)+(Q11*Q27)+(R11*R27)+(S11*S27)+(T11*T27)+(U11*U27)+(V11*V27)</f>
        <v>1.1666666666666665</v>
      </c>
      <c r="E42">
        <f>E23/D42</f>
        <v>36.857142857142861</v>
      </c>
      <c r="G42">
        <f>MIN(I23,E42)</f>
        <v>36.857142857142861</v>
      </c>
      <c r="H42" t="s">
        <v>73</v>
      </c>
      <c r="K42" t="s">
        <v>274</v>
      </c>
      <c r="L42">
        <f t="shared" ref="L42:L48" si="18">L41</f>
        <v>21</v>
      </c>
      <c r="M42" s="18">
        <f ca="1">SMALL(INDIRECT(N42):INDIRECT(O42),7)</f>
        <v>1700</v>
      </c>
      <c r="N42" s="18" t="str">
        <f t="shared" si="16"/>
        <v>$N$21</v>
      </c>
      <c r="O42" t="str">
        <f t="shared" si="17"/>
        <v>$V$21</v>
      </c>
    </row>
    <row r="43" spans="3:25" x14ac:dyDescent="0.25">
      <c r="C43" t="s">
        <v>188</v>
      </c>
      <c r="D43">
        <f>(N18*N27)+(O18*O27)+(P18*P27)+(Q18*Q27)+(R18*R27)+(S18*S27)+(T18*T27)+(U18*U27)+(V18*V27)</f>
        <v>5.583333333333333</v>
      </c>
      <c r="E43">
        <f>E24/D43</f>
        <v>178.56716417910448</v>
      </c>
      <c r="G43">
        <f>MIN(I23,E43)</f>
        <v>178.56716417910448</v>
      </c>
      <c r="H43" t="s">
        <v>249</v>
      </c>
      <c r="K43" t="s">
        <v>275</v>
      </c>
      <c r="L43">
        <f t="shared" si="18"/>
        <v>21</v>
      </c>
      <c r="M43" s="18">
        <f ca="1">SMALL(INDIRECT(N43):INDIRECT(O43),6)</f>
        <v>1700</v>
      </c>
      <c r="N43" s="18" t="str">
        <f t="shared" si="16"/>
        <v>$N$21</v>
      </c>
      <c r="O43" t="str">
        <f t="shared" si="17"/>
        <v>$V$21</v>
      </c>
    </row>
    <row r="44" spans="3:25" x14ac:dyDescent="0.25">
      <c r="C44" t="s">
        <v>189</v>
      </c>
      <c r="D44">
        <f>(N17*N27)+(O17*O27)+(P17*P27)+(Q17*Q27)+(R17*R27)+(S17*S27)+(T17*T27)+(U17*U27)+(V17*V27)</f>
        <v>13.333333333333336</v>
      </c>
      <c r="E44">
        <f>E25/D44</f>
        <v>369.11249999999995</v>
      </c>
      <c r="G44">
        <f>MIN(I23,E44)</f>
        <v>369.11249999999995</v>
      </c>
      <c r="H44" t="s">
        <v>29</v>
      </c>
      <c r="K44" t="s">
        <v>276</v>
      </c>
      <c r="L44">
        <f t="shared" si="18"/>
        <v>21</v>
      </c>
      <c r="M44" s="18">
        <f ca="1">SMALL(INDIRECT(N44):INDIRECT(O44),5)</f>
        <v>1550</v>
      </c>
      <c r="N44" s="18" t="str">
        <f t="shared" si="16"/>
        <v>$N$21</v>
      </c>
      <c r="O44" t="str">
        <f t="shared" si="17"/>
        <v>$V$21</v>
      </c>
    </row>
    <row r="45" spans="3:25" x14ac:dyDescent="0.25">
      <c r="C45" t="s">
        <v>190</v>
      </c>
      <c r="D45">
        <f>(N21*N27)+(O21*O27)+(P21*P27)+(Q21*Q27)+(R21*R27)+(S21*S27)+(T21*T27)+(U21*U27)+(V21*V27)</f>
        <v>708.91666666666674</v>
      </c>
      <c r="E45">
        <f>E26/D45</f>
        <v>11.284824262372164</v>
      </c>
      <c r="G45">
        <f>MIN(I23,E45)</f>
        <v>11.284824262372164</v>
      </c>
      <c r="H45" t="s">
        <v>30</v>
      </c>
      <c r="K45" t="s">
        <v>277</v>
      </c>
      <c r="L45">
        <f t="shared" si="18"/>
        <v>21</v>
      </c>
      <c r="M45" s="18">
        <f ca="1">SMALL(INDIRECT(N45):INDIRECT(O45),4)</f>
        <v>1050</v>
      </c>
      <c r="N45" s="18" t="str">
        <f t="shared" si="16"/>
        <v>$N$21</v>
      </c>
      <c r="O45" t="str">
        <f t="shared" si="17"/>
        <v>$V$21</v>
      </c>
    </row>
    <row r="46" spans="3:25" x14ac:dyDescent="0.25">
      <c r="C46" t="s">
        <v>212</v>
      </c>
      <c r="D46" t="s">
        <v>211</v>
      </c>
      <c r="K46" t="s">
        <v>278</v>
      </c>
      <c r="L46">
        <f t="shared" si="18"/>
        <v>21</v>
      </c>
      <c r="M46" s="18">
        <f ca="1">SMALL(INDIRECT(N46):INDIRECT(O46),3)</f>
        <v>1</v>
      </c>
      <c r="N46" s="18" t="str">
        <f t="shared" si="16"/>
        <v>$N$21</v>
      </c>
      <c r="O46" t="str">
        <f t="shared" si="17"/>
        <v>$V$21</v>
      </c>
    </row>
    <row r="47" spans="3:25" x14ac:dyDescent="0.25">
      <c r="K47" t="s">
        <v>279</v>
      </c>
      <c r="L47">
        <f t="shared" si="18"/>
        <v>21</v>
      </c>
      <c r="M47" s="18">
        <f ca="1">SMALL(INDIRECT(N47):INDIRECT(O47),2)</f>
        <v>1</v>
      </c>
      <c r="N47" s="18" t="str">
        <f t="shared" si="16"/>
        <v>$N$21</v>
      </c>
      <c r="O47" t="str">
        <f t="shared" si="17"/>
        <v>$V$21</v>
      </c>
    </row>
    <row r="48" spans="3:25" x14ac:dyDescent="0.25">
      <c r="C48" s="16" t="s">
        <v>293</v>
      </c>
      <c r="D48">
        <f>MIN(G40:G45)</f>
        <v>11.284824262372164</v>
      </c>
      <c r="E48" s="18" t="str">
        <f>VLOOKUP(D48,G40:H45,2,FALSE)</f>
        <v>Bandwidth</v>
      </c>
      <c r="K48" t="s">
        <v>280</v>
      </c>
      <c r="L48">
        <f t="shared" si="18"/>
        <v>21</v>
      </c>
      <c r="M48" s="18">
        <f ca="1">SMALL(INDIRECT(N48):INDIRECT(O48),1)</f>
        <v>1</v>
      </c>
      <c r="N48" s="18" t="str">
        <f t="shared" si="16"/>
        <v>$N$21</v>
      </c>
      <c r="O48" t="str">
        <f t="shared" si="17"/>
        <v>$V$21</v>
      </c>
    </row>
    <row r="49" spans="1:5" x14ac:dyDescent="0.25">
      <c r="C49" s="16" t="s">
        <v>294</v>
      </c>
      <c r="D49">
        <f>SMALL(G40:G45,2)</f>
        <v>36.857142857142861</v>
      </c>
      <c r="E49" s="18" t="str">
        <f>VLOOKUP(D49,G40:H45,2,FALSE)</f>
        <v>CPU</v>
      </c>
    </row>
    <row r="51" spans="1:5" x14ac:dyDescent="0.25">
      <c r="A51" t="s">
        <v>183</v>
      </c>
      <c r="C51" t="s">
        <v>185</v>
      </c>
    </row>
    <row r="53" spans="1:5" x14ac:dyDescent="0.25">
      <c r="C53" t="s">
        <v>191</v>
      </c>
    </row>
    <row r="54" spans="1:5" x14ac:dyDescent="0.25">
      <c r="C54" t="s">
        <v>192</v>
      </c>
    </row>
    <row r="55" spans="1:5" x14ac:dyDescent="0.25">
      <c r="C55" t="s">
        <v>193</v>
      </c>
    </row>
    <row r="56" spans="1:5" x14ac:dyDescent="0.25">
      <c r="C56" t="s">
        <v>194</v>
      </c>
    </row>
    <row r="58" spans="1:5" x14ac:dyDescent="0.25">
      <c r="C58" t="s">
        <v>195</v>
      </c>
    </row>
    <row r="60" spans="1:5" x14ac:dyDescent="0.25">
      <c r="C60" t="s">
        <v>234</v>
      </c>
      <c r="D60" t="s">
        <v>236</v>
      </c>
    </row>
    <row r="61" spans="1:5" x14ac:dyDescent="0.25">
      <c r="D61" t="s">
        <v>235</v>
      </c>
    </row>
    <row r="62" spans="1:5" x14ac:dyDescent="0.25">
      <c r="D62" t="s">
        <v>238</v>
      </c>
    </row>
    <row r="63" spans="1:5" x14ac:dyDescent="0.25">
      <c r="D63" t="s">
        <v>237</v>
      </c>
    </row>
    <row r="65" spans="1:17" x14ac:dyDescent="0.25">
      <c r="C65" t="s">
        <v>61</v>
      </c>
    </row>
    <row r="66" spans="1:17" x14ac:dyDescent="0.25">
      <c r="C66" t="s">
        <v>62</v>
      </c>
    </row>
    <row r="67" spans="1:17" x14ac:dyDescent="0.25">
      <c r="C67" t="s">
        <v>63</v>
      </c>
    </row>
    <row r="69" spans="1:17" x14ac:dyDescent="0.25">
      <c r="E69" s="21" t="s">
        <v>328</v>
      </c>
    </row>
    <row r="70" spans="1:17" x14ac:dyDescent="0.25">
      <c r="C70" s="9" t="s">
        <v>306</v>
      </c>
      <c r="D70" t="s">
        <v>309</v>
      </c>
      <c r="E70" t="s">
        <v>310</v>
      </c>
      <c r="G70" s="35" t="s">
        <v>311</v>
      </c>
      <c r="H70" s="35" t="s">
        <v>322</v>
      </c>
      <c r="I70" s="35" t="s">
        <v>323</v>
      </c>
      <c r="M70" s="18" t="s">
        <v>324</v>
      </c>
      <c r="N70" t="s">
        <v>325</v>
      </c>
      <c r="P70" t="s">
        <v>326</v>
      </c>
      <c r="Q70" t="s">
        <v>327</v>
      </c>
    </row>
    <row r="71" spans="1:17" x14ac:dyDescent="0.25">
      <c r="C71">
        <f>MIN(E10,2)</f>
        <v>2</v>
      </c>
      <c r="D71" s="18">
        <v>5400</v>
      </c>
      <c r="E71">
        <v>50</v>
      </c>
      <c r="G71">
        <f>E71*E14</f>
        <v>200</v>
      </c>
      <c r="H71">
        <f>G71*C71</f>
        <v>400</v>
      </c>
      <c r="I71">
        <f>H71/C71</f>
        <v>200</v>
      </c>
      <c r="K71">
        <f>E10</f>
        <v>5</v>
      </c>
      <c r="L71">
        <f>MIN(K71/2,11)</f>
        <v>2.5</v>
      </c>
      <c r="M71" s="18">
        <f>L71*H71</f>
        <v>1000</v>
      </c>
      <c r="N71">
        <f>L71*I71</f>
        <v>500</v>
      </c>
      <c r="P71">
        <f>22*G71</f>
        <v>4400</v>
      </c>
      <c r="Q71">
        <f>11*G71</f>
        <v>2200</v>
      </c>
    </row>
    <row r="72" spans="1:17" x14ac:dyDescent="0.25">
      <c r="C72">
        <f>MIN(E10,2)</f>
        <v>2</v>
      </c>
      <c r="D72" s="18">
        <v>7200</v>
      </c>
      <c r="E72">
        <v>75</v>
      </c>
      <c r="G72">
        <f>E72*E14</f>
        <v>300</v>
      </c>
      <c r="H72">
        <f t="shared" ref="H72:H75" si="19">G72*C72</f>
        <v>600</v>
      </c>
      <c r="I72">
        <f t="shared" ref="I72:I75" si="20">H72/C72</f>
        <v>300</v>
      </c>
      <c r="K72">
        <f>E10</f>
        <v>5</v>
      </c>
      <c r="L72">
        <f t="shared" ref="L72:L75" si="21">MIN(K72/2,11)</f>
        <v>2.5</v>
      </c>
      <c r="M72" s="18">
        <f t="shared" ref="M72:M75" si="22">L72*H72</f>
        <v>1500</v>
      </c>
      <c r="N72">
        <f t="shared" ref="N72:N75" si="23">L72*I72</f>
        <v>750</v>
      </c>
      <c r="P72">
        <f t="shared" ref="P72:P75" si="24">22*G72</f>
        <v>6600</v>
      </c>
      <c r="Q72">
        <f t="shared" ref="Q72:Q75" si="25">11*G72</f>
        <v>3300</v>
      </c>
    </row>
    <row r="73" spans="1:17" x14ac:dyDescent="0.25">
      <c r="C73">
        <f>MIN(E10,2)</f>
        <v>2</v>
      </c>
      <c r="D73" s="18">
        <v>10000</v>
      </c>
      <c r="E73">
        <v>125</v>
      </c>
      <c r="G73">
        <f>E73*E14</f>
        <v>500</v>
      </c>
      <c r="H73">
        <f t="shared" si="19"/>
        <v>1000</v>
      </c>
      <c r="I73">
        <f t="shared" si="20"/>
        <v>500</v>
      </c>
      <c r="K73">
        <f>E10</f>
        <v>5</v>
      </c>
      <c r="L73">
        <f t="shared" si="21"/>
        <v>2.5</v>
      </c>
      <c r="M73" s="18">
        <f t="shared" si="22"/>
        <v>2500</v>
      </c>
      <c r="N73">
        <f t="shared" si="23"/>
        <v>1250</v>
      </c>
      <c r="P73">
        <f t="shared" si="24"/>
        <v>11000</v>
      </c>
      <c r="Q73">
        <f t="shared" si="25"/>
        <v>5500</v>
      </c>
    </row>
    <row r="74" spans="1:17" x14ac:dyDescent="0.25">
      <c r="C74">
        <f>MIN(E10,2)</f>
        <v>2</v>
      </c>
      <c r="D74" s="18">
        <v>15000</v>
      </c>
      <c r="E74">
        <v>175</v>
      </c>
      <c r="G74">
        <f>E74*E14</f>
        <v>700</v>
      </c>
      <c r="H74">
        <f t="shared" si="19"/>
        <v>1400</v>
      </c>
      <c r="I74">
        <f t="shared" si="20"/>
        <v>700</v>
      </c>
      <c r="K74">
        <f>E10</f>
        <v>5</v>
      </c>
      <c r="L74">
        <f t="shared" si="21"/>
        <v>2.5</v>
      </c>
      <c r="M74" s="18">
        <f t="shared" si="22"/>
        <v>3500</v>
      </c>
      <c r="N74">
        <f t="shared" si="23"/>
        <v>1750</v>
      </c>
      <c r="P74">
        <f t="shared" si="24"/>
        <v>15400</v>
      </c>
      <c r="Q74">
        <f t="shared" si="25"/>
        <v>7700</v>
      </c>
    </row>
    <row r="75" spans="1:17" x14ac:dyDescent="0.25">
      <c r="C75">
        <f>MIN(E10,2)</f>
        <v>2</v>
      </c>
      <c r="D75" s="18" t="s">
        <v>299</v>
      </c>
      <c r="E75">
        <v>6000</v>
      </c>
      <c r="G75">
        <f>E75*E14</f>
        <v>24000</v>
      </c>
      <c r="H75">
        <f t="shared" si="19"/>
        <v>48000</v>
      </c>
      <c r="I75">
        <f t="shared" si="20"/>
        <v>24000</v>
      </c>
      <c r="K75">
        <f>E10</f>
        <v>5</v>
      </c>
      <c r="L75">
        <f t="shared" si="21"/>
        <v>2.5</v>
      </c>
      <c r="M75" s="18">
        <f t="shared" si="22"/>
        <v>120000</v>
      </c>
      <c r="N75">
        <f t="shared" si="23"/>
        <v>60000</v>
      </c>
      <c r="P75">
        <f t="shared" si="24"/>
        <v>528000</v>
      </c>
      <c r="Q75">
        <f t="shared" si="25"/>
        <v>264000</v>
      </c>
    </row>
    <row r="78" spans="1:17" x14ac:dyDescent="0.25">
      <c r="A78" t="s">
        <v>289</v>
      </c>
      <c r="C78" t="s">
        <v>300</v>
      </c>
    </row>
    <row r="79" spans="1:17" x14ac:dyDescent="0.25">
      <c r="C79" t="s">
        <v>301</v>
      </c>
    </row>
    <row r="80" spans="1:17" x14ac:dyDescent="0.25">
      <c r="C80" t="s">
        <v>302</v>
      </c>
    </row>
    <row r="81" spans="3:3" x14ac:dyDescent="0.25">
      <c r="C81" t="s">
        <v>303</v>
      </c>
    </row>
    <row r="82" spans="3:3" x14ac:dyDescent="0.25">
      <c r="C82" t="s">
        <v>304</v>
      </c>
    </row>
  </sheetData>
  <pageMargins left="0.7" right="0.7" top="0.75" bottom="0.75" header="0.3" footer="0.3"/>
  <pageSetup orientation="portrait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X40"/>
  <sheetViews>
    <sheetView workbookViewId="0">
      <selection activeCell="A4" sqref="A4:X34"/>
    </sheetView>
  </sheetViews>
  <sheetFormatPr defaultRowHeight="15" x14ac:dyDescent="0.25"/>
  <cols>
    <col min="2" max="2" width="3.85546875" customWidth="1"/>
    <col min="4" max="4" width="5.42578125" customWidth="1"/>
    <col min="5" max="8" width="10.28515625" customWidth="1"/>
  </cols>
  <sheetData>
    <row r="2" spans="2:24" x14ac:dyDescent="0.25">
      <c r="I2" t="s">
        <v>46</v>
      </c>
    </row>
    <row r="4" spans="2:24" x14ac:dyDescent="0.25">
      <c r="E4" s="9" t="s">
        <v>215</v>
      </c>
      <c r="F4" s="9" t="s">
        <v>229</v>
      </c>
      <c r="M4" s="9" t="s">
        <v>216</v>
      </c>
      <c r="N4" s="9" t="s">
        <v>51</v>
      </c>
      <c r="U4" s="9" t="s">
        <v>217</v>
      </c>
      <c r="V4" s="9" t="s">
        <v>218</v>
      </c>
    </row>
    <row r="5" spans="2:24" x14ac:dyDescent="0.25">
      <c r="F5" t="s">
        <v>54</v>
      </c>
      <c r="G5" t="s">
        <v>228</v>
      </c>
      <c r="H5" t="s">
        <v>56</v>
      </c>
      <c r="N5" t="s">
        <v>223</v>
      </c>
      <c r="O5" t="s">
        <v>224</v>
      </c>
      <c r="P5" t="s">
        <v>225</v>
      </c>
      <c r="V5" t="s">
        <v>224</v>
      </c>
      <c r="W5" t="s">
        <v>226</v>
      </c>
      <c r="X5" t="s">
        <v>227</v>
      </c>
    </row>
    <row r="6" spans="2:24" ht="18.75" x14ac:dyDescent="0.3">
      <c r="B6" s="1" t="s">
        <v>12</v>
      </c>
      <c r="J6" s="1" t="s">
        <v>12</v>
      </c>
      <c r="R6" s="1" t="s">
        <v>12</v>
      </c>
    </row>
    <row r="7" spans="2:24" x14ac:dyDescent="0.25">
      <c r="F7" s="8" t="s">
        <v>38</v>
      </c>
      <c r="G7" s="8" t="s">
        <v>39</v>
      </c>
      <c r="H7" s="8" t="s">
        <v>40</v>
      </c>
      <c r="N7" s="8" t="s">
        <v>38</v>
      </c>
      <c r="O7" s="8" t="s">
        <v>39</v>
      </c>
      <c r="P7" s="8" t="s">
        <v>40</v>
      </c>
      <c r="V7" s="8" t="s">
        <v>38</v>
      </c>
      <c r="W7" s="8" t="s">
        <v>39</v>
      </c>
      <c r="X7" s="8" t="s">
        <v>40</v>
      </c>
    </row>
    <row r="8" spans="2:24" x14ac:dyDescent="0.25">
      <c r="C8" t="s">
        <v>32</v>
      </c>
      <c r="F8" s="2">
        <v>1</v>
      </c>
      <c r="G8" s="2">
        <v>1</v>
      </c>
      <c r="H8" s="2">
        <v>1</v>
      </c>
      <c r="K8" t="s">
        <v>32</v>
      </c>
      <c r="N8" s="2">
        <v>5</v>
      </c>
      <c r="O8" s="2">
        <v>8</v>
      </c>
      <c r="P8" s="2">
        <v>11</v>
      </c>
      <c r="S8" t="s">
        <v>32</v>
      </c>
      <c r="V8" s="2">
        <v>11</v>
      </c>
      <c r="W8" s="2">
        <v>13</v>
      </c>
      <c r="X8" s="2">
        <v>18</v>
      </c>
    </row>
    <row r="10" spans="2:24" ht="18.75" x14ac:dyDescent="0.3">
      <c r="B10" s="1" t="s">
        <v>16</v>
      </c>
      <c r="J10" s="1" t="s">
        <v>16</v>
      </c>
      <c r="R10" s="1" t="s">
        <v>16</v>
      </c>
    </row>
    <row r="11" spans="2:24" x14ac:dyDescent="0.25">
      <c r="F11" s="8" t="s">
        <v>38</v>
      </c>
      <c r="G11" s="8" t="s">
        <v>39</v>
      </c>
      <c r="H11" s="8" t="s">
        <v>40</v>
      </c>
      <c r="N11" s="8" t="s">
        <v>38</v>
      </c>
      <c r="O11" s="8" t="s">
        <v>39</v>
      </c>
      <c r="P11" s="8" t="s">
        <v>40</v>
      </c>
      <c r="V11" s="8" t="s">
        <v>38</v>
      </c>
      <c r="W11" s="8" t="s">
        <v>39</v>
      </c>
      <c r="X11" s="8" t="s">
        <v>40</v>
      </c>
    </row>
    <row r="12" spans="2:24" x14ac:dyDescent="0.25">
      <c r="C12" t="s">
        <v>31</v>
      </c>
      <c r="F12" s="7">
        <v>0.25</v>
      </c>
      <c r="G12" s="7">
        <v>0.5</v>
      </c>
      <c r="H12" s="7">
        <v>1</v>
      </c>
      <c r="K12" t="s">
        <v>31</v>
      </c>
      <c r="N12" s="7">
        <v>1</v>
      </c>
      <c r="O12" s="7">
        <v>1.9</v>
      </c>
      <c r="P12" s="7">
        <v>3.9</v>
      </c>
      <c r="S12" t="s">
        <v>31</v>
      </c>
      <c r="V12" s="7">
        <v>2.15</v>
      </c>
      <c r="W12" s="7">
        <v>2.85</v>
      </c>
      <c r="X12" s="7">
        <v>4.05</v>
      </c>
    </row>
    <row r="13" spans="2:24" x14ac:dyDescent="0.25">
      <c r="C13" t="s">
        <v>219</v>
      </c>
      <c r="F13" s="7">
        <f t="shared" ref="F13:H14" si="0">F12</f>
        <v>0.25</v>
      </c>
      <c r="G13" s="7">
        <f t="shared" si="0"/>
        <v>0.5</v>
      </c>
      <c r="H13" s="7">
        <f t="shared" si="0"/>
        <v>1</v>
      </c>
      <c r="K13" t="s">
        <v>219</v>
      </c>
      <c r="N13" s="7">
        <v>0.4</v>
      </c>
      <c r="O13" s="7">
        <v>0.5</v>
      </c>
      <c r="P13" s="7">
        <v>1</v>
      </c>
      <c r="S13" t="s">
        <v>219</v>
      </c>
      <c r="V13" s="7">
        <v>0.4</v>
      </c>
      <c r="W13" s="7">
        <v>0.5</v>
      </c>
      <c r="X13" s="7">
        <v>1</v>
      </c>
    </row>
    <row r="14" spans="2:24" x14ac:dyDescent="0.25">
      <c r="C14" t="s">
        <v>220</v>
      </c>
      <c r="F14" s="7">
        <f t="shared" si="0"/>
        <v>0.25</v>
      </c>
      <c r="G14" s="7">
        <f t="shared" si="0"/>
        <v>0.5</v>
      </c>
      <c r="H14" s="7">
        <f t="shared" si="0"/>
        <v>1</v>
      </c>
      <c r="K14" t="s">
        <v>220</v>
      </c>
      <c r="N14" s="7">
        <v>0.05</v>
      </c>
      <c r="O14" s="7">
        <v>0.05</v>
      </c>
      <c r="P14" s="7">
        <v>0.05</v>
      </c>
      <c r="S14" t="s">
        <v>220</v>
      </c>
      <c r="V14" s="7">
        <v>0.05</v>
      </c>
      <c r="W14" s="7">
        <v>0.05</v>
      </c>
      <c r="X14" s="7">
        <v>0.05</v>
      </c>
    </row>
    <row r="16" spans="2:24" ht="18.75" x14ac:dyDescent="0.3">
      <c r="B16" s="1" t="s">
        <v>28</v>
      </c>
      <c r="J16" s="1" t="s">
        <v>28</v>
      </c>
      <c r="R16" s="1" t="s">
        <v>28</v>
      </c>
    </row>
    <row r="17" spans="2:24" x14ac:dyDescent="0.25">
      <c r="F17" s="8" t="s">
        <v>38</v>
      </c>
      <c r="G17" s="8" t="s">
        <v>39</v>
      </c>
      <c r="H17" s="8" t="s">
        <v>40</v>
      </c>
      <c r="N17" s="8" t="s">
        <v>38</v>
      </c>
      <c r="O17" s="8" t="s">
        <v>39</v>
      </c>
      <c r="P17" s="8" t="s">
        <v>40</v>
      </c>
      <c r="V17" s="8" t="s">
        <v>38</v>
      </c>
      <c r="W17" s="8" t="s">
        <v>39</v>
      </c>
      <c r="X17" s="8" t="s">
        <v>40</v>
      </c>
    </row>
    <row r="18" spans="2:24" x14ac:dyDescent="0.25">
      <c r="C18" t="s">
        <v>239</v>
      </c>
      <c r="F18" s="7">
        <v>256</v>
      </c>
      <c r="G18" s="7">
        <v>1024</v>
      </c>
      <c r="H18" s="7">
        <v>2048</v>
      </c>
      <c r="K18" t="s">
        <v>239</v>
      </c>
      <c r="N18" s="7">
        <v>1568</v>
      </c>
      <c r="O18" s="7">
        <v>3008</v>
      </c>
      <c r="P18" s="7">
        <v>5504</v>
      </c>
      <c r="S18" t="s">
        <v>239</v>
      </c>
      <c r="V18" s="7">
        <v>3008</v>
      </c>
      <c r="W18" s="7">
        <v>4544</v>
      </c>
      <c r="X18" s="7">
        <v>7936</v>
      </c>
    </row>
    <row r="19" spans="2:24" x14ac:dyDescent="0.25">
      <c r="C19" t="s">
        <v>221</v>
      </c>
      <c r="F19" s="7">
        <f t="shared" ref="F19:H20" si="1">F18</f>
        <v>256</v>
      </c>
      <c r="G19" s="7">
        <f t="shared" si="1"/>
        <v>1024</v>
      </c>
      <c r="H19" s="7">
        <f t="shared" si="1"/>
        <v>2048</v>
      </c>
      <c r="K19" t="s">
        <v>221</v>
      </c>
      <c r="N19" s="7">
        <v>512</v>
      </c>
      <c r="O19" s="7">
        <v>1024</v>
      </c>
      <c r="P19" s="7">
        <v>2048</v>
      </c>
      <c r="S19" t="s">
        <v>221</v>
      </c>
      <c r="V19" s="7">
        <v>512</v>
      </c>
      <c r="W19" s="7">
        <v>1024</v>
      </c>
      <c r="X19" s="7">
        <v>2048</v>
      </c>
    </row>
    <row r="20" spans="2:24" x14ac:dyDescent="0.25">
      <c r="C20" t="s">
        <v>222</v>
      </c>
      <c r="F20" s="7">
        <f t="shared" si="1"/>
        <v>256</v>
      </c>
      <c r="G20" s="7">
        <f t="shared" si="1"/>
        <v>1024</v>
      </c>
      <c r="H20" s="7">
        <f t="shared" si="1"/>
        <v>2048</v>
      </c>
      <c r="K20" t="s">
        <v>222</v>
      </c>
      <c r="N20" s="7">
        <v>96</v>
      </c>
      <c r="O20" s="7">
        <v>96</v>
      </c>
      <c r="P20" s="7">
        <v>96</v>
      </c>
      <c r="S20" t="s">
        <v>222</v>
      </c>
      <c r="V20" s="7">
        <v>96</v>
      </c>
      <c r="W20" s="7">
        <v>96</v>
      </c>
      <c r="X20" s="7">
        <v>96</v>
      </c>
    </row>
    <row r="22" spans="2:24" ht="18.75" x14ac:dyDescent="0.3">
      <c r="B22" s="1" t="s">
        <v>29</v>
      </c>
      <c r="J22" s="1" t="s">
        <v>29</v>
      </c>
      <c r="R22" s="1" t="s">
        <v>29</v>
      </c>
    </row>
    <row r="23" spans="2:24" x14ac:dyDescent="0.25">
      <c r="F23" s="8" t="s">
        <v>38</v>
      </c>
      <c r="G23" s="8" t="s">
        <v>39</v>
      </c>
      <c r="H23" s="8" t="s">
        <v>40</v>
      </c>
      <c r="N23" s="8" t="s">
        <v>38</v>
      </c>
      <c r="O23" s="8" t="s">
        <v>39</v>
      </c>
      <c r="P23" s="8" t="s">
        <v>40</v>
      </c>
      <c r="V23" s="8" t="s">
        <v>38</v>
      </c>
      <c r="W23" s="8" t="s">
        <v>39</v>
      </c>
      <c r="X23" s="8" t="s">
        <v>40</v>
      </c>
    </row>
    <row r="24" spans="2:24" x14ac:dyDescent="0.25">
      <c r="C24" t="s">
        <v>33</v>
      </c>
      <c r="F24" s="2">
        <v>1</v>
      </c>
      <c r="G24" s="7">
        <v>1</v>
      </c>
      <c r="H24" s="7">
        <v>1</v>
      </c>
      <c r="K24" t="s">
        <v>33</v>
      </c>
      <c r="N24" s="2">
        <v>10</v>
      </c>
      <c r="O24" s="7">
        <v>12</v>
      </c>
      <c r="P24" s="7">
        <v>18</v>
      </c>
      <c r="S24" t="s">
        <v>33</v>
      </c>
      <c r="V24" s="2">
        <v>18</v>
      </c>
      <c r="W24" s="7">
        <v>20</v>
      </c>
      <c r="X24" s="7">
        <v>27</v>
      </c>
    </row>
    <row r="25" spans="2:24" x14ac:dyDescent="0.25">
      <c r="C25" t="s">
        <v>34</v>
      </c>
      <c r="F25" s="2">
        <v>2</v>
      </c>
      <c r="G25" s="7">
        <v>10</v>
      </c>
      <c r="H25" s="7">
        <v>40</v>
      </c>
      <c r="K25" t="s">
        <v>34</v>
      </c>
      <c r="N25" s="2">
        <v>2.5</v>
      </c>
      <c r="O25" s="7">
        <v>6</v>
      </c>
      <c r="P25" s="7">
        <v>33</v>
      </c>
      <c r="S25" t="s">
        <v>34</v>
      </c>
      <c r="V25" s="2">
        <v>3.5</v>
      </c>
      <c r="W25" s="7">
        <v>5</v>
      </c>
      <c r="X25" s="7">
        <v>26</v>
      </c>
    </row>
    <row r="26" spans="2:24" x14ac:dyDescent="0.25">
      <c r="C26" t="s">
        <v>230</v>
      </c>
      <c r="F26" s="7">
        <f t="shared" ref="F26:H27" si="2">F25</f>
        <v>2</v>
      </c>
      <c r="G26" s="7">
        <f t="shared" si="2"/>
        <v>10</v>
      </c>
      <c r="H26" s="7">
        <f t="shared" si="2"/>
        <v>40</v>
      </c>
      <c r="K26" t="s">
        <v>230</v>
      </c>
      <c r="N26" s="2">
        <v>0.5</v>
      </c>
      <c r="O26" s="7">
        <v>2</v>
      </c>
      <c r="P26" s="7">
        <v>20</v>
      </c>
      <c r="S26" t="s">
        <v>230</v>
      </c>
      <c r="V26" s="2">
        <v>1</v>
      </c>
      <c r="W26" s="7">
        <v>2</v>
      </c>
      <c r="X26" s="7">
        <v>20</v>
      </c>
    </row>
    <row r="27" spans="2:24" x14ac:dyDescent="0.25">
      <c r="C27" t="s">
        <v>231</v>
      </c>
      <c r="F27" s="7">
        <f t="shared" si="2"/>
        <v>2</v>
      </c>
      <c r="G27" s="7">
        <f t="shared" si="2"/>
        <v>10</v>
      </c>
      <c r="H27" s="7">
        <f t="shared" si="2"/>
        <v>40</v>
      </c>
      <c r="K27" t="s">
        <v>231</v>
      </c>
      <c r="N27" s="2">
        <v>0.05</v>
      </c>
      <c r="O27" s="7">
        <v>0.05</v>
      </c>
      <c r="P27" s="7">
        <v>0.05</v>
      </c>
      <c r="S27" t="s">
        <v>231</v>
      </c>
      <c r="V27" s="2">
        <v>0.05</v>
      </c>
      <c r="W27" s="7">
        <v>0.05</v>
      </c>
      <c r="X27" s="7">
        <v>0.05</v>
      </c>
    </row>
    <row r="29" spans="2:24" ht="18.75" x14ac:dyDescent="0.3">
      <c r="B29" s="1" t="s">
        <v>30</v>
      </c>
      <c r="J29" s="1" t="s">
        <v>30</v>
      </c>
      <c r="R29" s="1" t="s">
        <v>30</v>
      </c>
    </row>
    <row r="30" spans="2:24" x14ac:dyDescent="0.25">
      <c r="F30" s="8" t="s">
        <v>38</v>
      </c>
      <c r="G30" s="8" t="s">
        <v>39</v>
      </c>
      <c r="H30" s="8" t="s">
        <v>40</v>
      </c>
      <c r="N30" s="8" t="s">
        <v>38</v>
      </c>
      <c r="O30" s="8" t="s">
        <v>39</v>
      </c>
      <c r="P30" s="8" t="s">
        <v>40</v>
      </c>
      <c r="V30" s="8" t="s">
        <v>38</v>
      </c>
      <c r="W30" s="8" t="s">
        <v>39</v>
      </c>
      <c r="X30" s="8" t="s">
        <v>40</v>
      </c>
    </row>
    <row r="31" spans="2:24" x14ac:dyDescent="0.25">
      <c r="C31" t="s">
        <v>35</v>
      </c>
      <c r="F31" s="2" t="s">
        <v>211</v>
      </c>
      <c r="K31" t="s">
        <v>35</v>
      </c>
      <c r="N31" s="2" t="s">
        <v>211</v>
      </c>
      <c r="S31" t="s">
        <v>35</v>
      </c>
      <c r="V31" s="2" t="s">
        <v>211</v>
      </c>
    </row>
    <row r="32" spans="2:24" x14ac:dyDescent="0.25">
      <c r="C32" t="s">
        <v>243</v>
      </c>
      <c r="F32" s="2">
        <v>1</v>
      </c>
      <c r="G32" s="2">
        <v>1</v>
      </c>
      <c r="H32" s="2">
        <v>1</v>
      </c>
      <c r="K32" t="s">
        <v>243</v>
      </c>
      <c r="N32" s="2">
        <v>1050</v>
      </c>
      <c r="O32" s="2">
        <v>1700</v>
      </c>
      <c r="P32" s="2">
        <v>1700</v>
      </c>
      <c r="S32" t="s">
        <v>243</v>
      </c>
      <c r="V32" s="2">
        <v>1550</v>
      </c>
      <c r="W32" s="2">
        <v>1750</v>
      </c>
      <c r="X32" s="2">
        <v>2150</v>
      </c>
    </row>
    <row r="33" spans="2:24" x14ac:dyDescent="0.25">
      <c r="C33" t="s">
        <v>232</v>
      </c>
      <c r="F33" s="7">
        <f t="shared" ref="F33:H34" si="3">F32</f>
        <v>1</v>
      </c>
      <c r="G33" s="7">
        <f t="shared" si="3"/>
        <v>1</v>
      </c>
      <c r="H33" s="7">
        <f t="shared" si="3"/>
        <v>1</v>
      </c>
      <c r="K33" t="s">
        <v>232</v>
      </c>
      <c r="N33" s="2">
        <v>400</v>
      </c>
      <c r="O33" s="2">
        <v>400</v>
      </c>
      <c r="P33" s="2">
        <v>400</v>
      </c>
      <c r="S33" t="s">
        <v>232</v>
      </c>
      <c r="V33" s="2">
        <v>400</v>
      </c>
      <c r="W33" s="2">
        <v>400</v>
      </c>
      <c r="X33" s="2">
        <v>800</v>
      </c>
    </row>
    <row r="34" spans="2:24" x14ac:dyDescent="0.25">
      <c r="C34" t="s">
        <v>233</v>
      </c>
      <c r="F34" s="7">
        <f t="shared" si="3"/>
        <v>1</v>
      </c>
      <c r="G34" s="7">
        <f t="shared" si="3"/>
        <v>1</v>
      </c>
      <c r="H34" s="7">
        <f t="shared" si="3"/>
        <v>1</v>
      </c>
      <c r="K34" t="s">
        <v>233</v>
      </c>
      <c r="N34" s="2">
        <v>100</v>
      </c>
      <c r="O34" s="2">
        <v>50</v>
      </c>
      <c r="P34" s="2">
        <v>50</v>
      </c>
      <c r="S34" t="s">
        <v>233</v>
      </c>
      <c r="V34" s="2">
        <v>50</v>
      </c>
      <c r="W34" s="2">
        <v>50</v>
      </c>
      <c r="X34" s="2">
        <v>50</v>
      </c>
    </row>
    <row r="35" spans="2:24" x14ac:dyDescent="0.25">
      <c r="F35" s="6"/>
      <c r="N35" s="6"/>
      <c r="V35" s="6"/>
    </row>
    <row r="36" spans="2:24" x14ac:dyDescent="0.25">
      <c r="C36" t="s">
        <v>36</v>
      </c>
      <c r="F36" s="2" t="s">
        <v>211</v>
      </c>
      <c r="K36" t="s">
        <v>36</v>
      </c>
      <c r="N36" s="2" t="s">
        <v>211</v>
      </c>
      <c r="S36" t="s">
        <v>36</v>
      </c>
      <c r="V36" s="2" t="s">
        <v>211</v>
      </c>
    </row>
    <row r="37" spans="2:24" x14ac:dyDescent="0.25">
      <c r="C37" t="s">
        <v>37</v>
      </c>
      <c r="F37" s="2" t="s">
        <v>211</v>
      </c>
      <c r="G37" s="2" t="s">
        <v>211</v>
      </c>
      <c r="H37" s="2" t="s">
        <v>211</v>
      </c>
      <c r="K37" t="s">
        <v>37</v>
      </c>
      <c r="N37" s="2" t="s">
        <v>211</v>
      </c>
      <c r="O37" s="2" t="s">
        <v>211</v>
      </c>
      <c r="P37" s="2" t="s">
        <v>211</v>
      </c>
      <c r="S37" t="s">
        <v>37</v>
      </c>
      <c r="V37" s="2" t="s">
        <v>211</v>
      </c>
      <c r="W37" s="2" t="s">
        <v>211</v>
      </c>
      <c r="X37" s="2" t="s">
        <v>211</v>
      </c>
    </row>
    <row r="40" spans="2:24" ht="18.75" x14ac:dyDescent="0.3">
      <c r="B4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Intro</vt:lpstr>
      <vt:lpstr>App Factors</vt:lpstr>
      <vt:lpstr>Customer Factors</vt:lpstr>
      <vt:lpstr>Grid Factors</vt:lpstr>
      <vt:lpstr>Outputs</vt:lpstr>
      <vt:lpstr>AppLogic Factors</vt:lpstr>
      <vt:lpstr>Calculations</vt:lpstr>
      <vt:lpstr>Sample Apps</vt:lpstr>
    </vt:vector>
  </TitlesOfParts>
  <Company>CA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Armijo</dc:creator>
  <cp:lastModifiedBy>David Wollenberger</cp:lastModifiedBy>
  <dcterms:created xsi:type="dcterms:W3CDTF">2013-01-30T19:56:31Z</dcterms:created>
  <dcterms:modified xsi:type="dcterms:W3CDTF">2013-10-17T22:37:25Z</dcterms:modified>
</cp:coreProperties>
</file>